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20" tabRatio="527" activeTab="1"/>
  </bookViews>
  <sheets>
    <sheet name="Rajzparaméterek" sheetId="1" r:id="rId1"/>
    <sheet name="Méretezés" sheetId="2" r:id="rId2"/>
    <sheet name="1. táblázat" sheetId="3" r:id="rId3"/>
    <sheet name="2. táblázat" sheetId="4" r:id="rId4"/>
    <sheet name="3. táblázat" sheetId="5" r:id="rId5"/>
    <sheet name="Heg.Toldatos karimák" sheetId="6" r:id="rId6"/>
    <sheet name="5. táblázat" sheetId="7" r:id="rId7"/>
    <sheet name="7. táblázat" sheetId="8" r:id="rId8"/>
    <sheet name="8. táblázat" sheetId="9" r:id="rId9"/>
    <sheet name="vk" sheetId="10" r:id="rId10"/>
    <sheet name="béta" sheetId="11" r:id="rId11"/>
    <sheet name="nyereg" sheetId="12" r:id="rId12"/>
    <sheet name="Csavar" sheetId="13" r:id="rId13"/>
  </sheets>
  <definedNames>
    <definedName name="_xlnm.Print_Area" localSheetId="1">'Méretezés'!$A$1:$H$215</definedName>
    <definedName name="_xlnm.Print_Area" localSheetId="0">'Rajzparaméterek'!$A$1:$I$149</definedName>
  </definedNames>
  <calcPr fullCalcOnLoad="1"/>
</workbook>
</file>

<file path=xl/comments2.xml><?xml version="1.0" encoding="utf-8"?>
<comments xmlns="http://schemas.openxmlformats.org/spreadsheetml/2006/main">
  <authors>
    <author>Pirzs?k G?bor</author>
    <author>Home</author>
  </authors>
  <commentList>
    <comment ref="D29" authorId="0">
      <text>
        <r>
          <rPr>
            <b/>
            <sz val="8"/>
            <rFont val="Tahoma"/>
            <family val="0"/>
          </rPr>
          <t>Pirzsók Gábor:</t>
        </r>
        <r>
          <rPr>
            <sz val="8"/>
            <rFont val="Tahoma"/>
            <family val="0"/>
          </rPr>
          <t xml:space="preserve">
1; 2; 3; vagy 4</t>
        </r>
      </text>
    </comment>
    <comment ref="G17" authorId="0">
      <text>
        <r>
          <rPr>
            <b/>
            <sz val="8"/>
            <rFont val="Tahoma"/>
            <family val="0"/>
          </rPr>
          <t>Pirzsók Gábor:</t>
        </r>
        <r>
          <rPr>
            <sz val="8"/>
            <rFont val="Tahoma"/>
            <family val="0"/>
          </rPr>
          <t xml:space="preserve">
Képlettel számolt érték, de igény szerint felülírható.</t>
        </r>
      </text>
    </comment>
    <comment ref="B71" authorId="0">
      <text>
        <r>
          <rPr>
            <b/>
            <sz val="8"/>
            <rFont val="Tahoma"/>
            <family val="0"/>
          </rPr>
          <t>Pirzsók Gábor:</t>
        </r>
        <r>
          <rPr>
            <sz val="8"/>
            <rFont val="Tahoma"/>
            <family val="0"/>
          </rPr>
          <t xml:space="preserve">
a kivágás legnagyobb átmérője</t>
        </r>
      </text>
    </comment>
    <comment ref="D117" authorId="0">
      <text>
        <r>
          <rPr>
            <b/>
            <sz val="8"/>
            <rFont val="Tahoma"/>
            <family val="0"/>
          </rPr>
          <t>Pirzsók Gábor:</t>
        </r>
        <r>
          <rPr>
            <sz val="8"/>
            <rFont val="Tahoma"/>
            <family val="0"/>
          </rPr>
          <t xml:space="preserve">
Anyagfajta:
1; 2 ;3; 4; vagy 5</t>
        </r>
      </text>
    </comment>
    <comment ref="E131" authorId="0">
      <text>
        <r>
          <rPr>
            <b/>
            <sz val="8"/>
            <rFont val="Tahoma"/>
            <family val="0"/>
          </rPr>
          <t>Pirzsók Gábor:</t>
        </r>
        <r>
          <rPr>
            <sz val="8"/>
            <rFont val="Tahoma"/>
            <family val="0"/>
          </rPr>
          <t xml:space="preserve">
Milyen legyen a biztonsági szelep?
1 vagy 2</t>
        </r>
      </text>
    </comment>
    <comment ref="D203" authorId="0">
      <text>
        <r>
          <rPr>
            <b/>
            <sz val="8"/>
            <rFont val="Tahoma"/>
            <family val="0"/>
          </rPr>
          <t>Pirzsók Gábor:</t>
        </r>
        <r>
          <rPr>
            <sz val="8"/>
            <rFont val="Tahoma"/>
            <family val="0"/>
          </rPr>
          <t xml:space="preserve">
cavar minőség:
1 vagy 2</t>
        </r>
      </text>
    </comment>
    <comment ref="C184" authorId="0">
      <text>
        <r>
          <rPr>
            <b/>
            <sz val="8"/>
            <rFont val="Tahoma"/>
            <family val="0"/>
          </rPr>
          <t>Pirzsók Gábor:</t>
        </r>
        <r>
          <rPr>
            <sz val="8"/>
            <rFont val="Tahoma"/>
            <family val="0"/>
          </rPr>
          <t xml:space="preserve">
ez a hegesztési jóságfok
</t>
        </r>
      </text>
    </comment>
    <comment ref="G21" authorId="0">
      <text>
        <r>
          <rPr>
            <b/>
            <sz val="8"/>
            <rFont val="Tahoma"/>
            <family val="0"/>
          </rPr>
          <t>Pirzsók Gábor:</t>
        </r>
        <r>
          <rPr>
            <sz val="8"/>
            <rFont val="Tahoma"/>
            <family val="0"/>
          </rPr>
          <t xml:space="preserve">
Képlettel számolt érték, de igény szerint felülírható.</t>
        </r>
      </text>
    </comment>
    <comment ref="C111" authorId="0">
      <text>
        <r>
          <rPr>
            <b/>
            <sz val="8"/>
            <rFont val="Tahoma"/>
            <family val="0"/>
          </rPr>
          <t>Pirzsók Gábor:</t>
        </r>
        <r>
          <rPr>
            <sz val="8"/>
            <rFont val="Tahoma"/>
            <family val="0"/>
          </rPr>
          <t xml:space="preserve">
Csonk magasság, szabadon választott</t>
        </r>
      </text>
    </comment>
    <comment ref="C114" authorId="0">
      <text>
        <r>
          <rPr>
            <b/>
            <sz val="8"/>
            <rFont val="Tahoma"/>
            <family val="0"/>
          </rPr>
          <t>Pirzsók Gábor:</t>
        </r>
        <r>
          <rPr>
            <sz val="8"/>
            <rFont val="Tahoma"/>
            <family val="0"/>
          </rPr>
          <t xml:space="preserve">
Csonk magasság, szabadon választott</t>
        </r>
      </text>
    </comment>
    <comment ref="C125" authorId="0">
      <text>
        <r>
          <rPr>
            <b/>
            <sz val="8"/>
            <rFont val="Tahoma"/>
            <family val="0"/>
          </rPr>
          <t>Pirzsók Gábor:</t>
        </r>
        <r>
          <rPr>
            <sz val="8"/>
            <rFont val="Tahoma"/>
            <family val="0"/>
          </rPr>
          <t xml:space="preserve">
Csonk magasság, szabadon választott</t>
        </r>
      </text>
    </comment>
    <comment ref="C135" authorId="0">
      <text>
        <r>
          <rPr>
            <b/>
            <sz val="8"/>
            <rFont val="Tahoma"/>
            <family val="0"/>
          </rPr>
          <t>Pirzsók Gábor:</t>
        </r>
        <r>
          <rPr>
            <sz val="8"/>
            <rFont val="Tahoma"/>
            <family val="0"/>
          </rPr>
          <t xml:space="preserve">
Csonk magasság, szabadon választott</t>
        </r>
      </text>
    </comment>
    <comment ref="C143" authorId="0">
      <text>
        <r>
          <rPr>
            <b/>
            <sz val="8"/>
            <rFont val="Tahoma"/>
            <family val="0"/>
          </rPr>
          <t>Pirzsók Gábor:</t>
        </r>
        <r>
          <rPr>
            <sz val="8"/>
            <rFont val="Tahoma"/>
            <family val="0"/>
          </rPr>
          <t xml:space="preserve">
Csonk magasság, szabadon választott, max: 150mm</t>
        </r>
      </text>
    </comment>
    <comment ref="D55" authorId="1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Nem tudtam elkerülni a körkörös hivatkozást.
</t>
        </r>
      </text>
    </comment>
  </commentList>
</comments>
</file>

<file path=xl/sharedStrings.xml><?xml version="1.0" encoding="utf-8"?>
<sst xmlns="http://schemas.openxmlformats.org/spreadsheetml/2006/main" count="871" uniqueCount="409">
  <si>
    <t>Adatok:</t>
  </si>
  <si>
    <t>űrtartalom:</t>
  </si>
  <si>
    <t>üzemi nyomás:</t>
  </si>
  <si>
    <t>kompresszor levegőszállítása:</t>
  </si>
  <si>
    <t>max.elvezetett levegőmennyiség:</t>
  </si>
  <si>
    <t>V =</t>
  </si>
  <si>
    <r>
      <t>p</t>
    </r>
    <r>
      <rPr>
        <vertAlign val="subscript"/>
        <sz val="10"/>
        <rFont val="Arial"/>
        <family val="2"/>
      </rPr>
      <t>ü</t>
    </r>
    <r>
      <rPr>
        <sz val="10"/>
        <rFont val="Arial"/>
        <family val="0"/>
      </rPr>
      <t xml:space="preserve"> =</t>
    </r>
  </si>
  <si>
    <r>
      <t>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</si>
  <si>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q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</si>
  <si>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</si>
  <si>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</t>
    </r>
  </si>
  <si>
    <t>MPa</t>
  </si>
  <si>
    <r>
      <t>p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=</t>
    </r>
  </si>
  <si>
    <r>
      <t>N/mm</t>
    </r>
    <r>
      <rPr>
        <vertAlign val="superscript"/>
        <sz val="10"/>
        <rFont val="Arial"/>
        <family val="2"/>
      </rPr>
      <t>2</t>
    </r>
  </si>
  <si>
    <t>A tervezési adatok meghatározása:</t>
  </si>
  <si>
    <t xml:space="preserve"> 1.</t>
  </si>
  <si>
    <t xml:space="preserve"> 1.1</t>
  </si>
  <si>
    <t xml:space="preserve"> 1.2</t>
  </si>
  <si>
    <t xml:space="preserve"> 1.3</t>
  </si>
  <si>
    <r>
      <t>Tervezési (méretezési) nyomás (p</t>
    </r>
    <r>
      <rPr>
        <u val="single"/>
        <vertAlign val="subscript"/>
        <sz val="10"/>
        <rFont val="Arial"/>
        <family val="0"/>
      </rPr>
      <t>t</t>
    </r>
    <r>
      <rPr>
        <u val="single"/>
        <sz val="10"/>
        <rFont val="Arial"/>
        <family val="0"/>
      </rPr>
      <t>):</t>
    </r>
  </si>
  <si>
    <r>
      <t>Próbanyomás (p</t>
    </r>
    <r>
      <rPr>
        <u val="single"/>
        <vertAlign val="subscript"/>
        <sz val="10"/>
        <rFont val="Arial"/>
        <family val="0"/>
      </rPr>
      <t>pr</t>
    </r>
    <r>
      <rPr>
        <u val="single"/>
        <sz val="10"/>
        <rFont val="Arial"/>
        <family val="0"/>
      </rPr>
      <t>):</t>
    </r>
  </si>
  <si>
    <t>Légtartály geomtriai méretei:</t>
  </si>
  <si>
    <t>D =</t>
  </si>
  <si>
    <t>m</t>
  </si>
  <si>
    <t xml:space="preserve"> =&gt;</t>
  </si>
  <si>
    <t>D ==</t>
  </si>
  <si>
    <t>s =</t>
  </si>
  <si>
    <t>h =</t>
  </si>
  <si>
    <t>R =</t>
  </si>
  <si>
    <t>r =</t>
  </si>
  <si>
    <t>Tömeg =</t>
  </si>
  <si>
    <t>Q =</t>
  </si>
  <si>
    <t>mm</t>
  </si>
  <si>
    <t>kg</t>
  </si>
  <si>
    <r>
      <t>dm</t>
    </r>
    <r>
      <rPr>
        <vertAlign val="superscript"/>
        <sz val="10"/>
        <rFont val="Arial"/>
        <family val="2"/>
      </rPr>
      <t>3</t>
    </r>
  </si>
  <si>
    <r>
      <t>L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=</t>
    </r>
  </si>
  <si>
    <r>
      <t>L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/ D =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</si>
  <si>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</si>
  <si>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V</t>
    </r>
    <r>
      <rPr>
        <vertAlign val="subscript"/>
        <sz val="10"/>
        <rFont val="Arial"/>
        <family val="2"/>
      </rPr>
      <t>végl</t>
    </r>
    <r>
      <rPr>
        <sz val="10"/>
        <rFont val="Arial"/>
        <family val="0"/>
      </rPr>
      <t xml:space="preserve"> =</t>
    </r>
  </si>
  <si>
    <t xml:space="preserve"> 1.4</t>
  </si>
  <si>
    <t>Anyagválasztás, szilárdsági jellemzők meghatározása:</t>
  </si>
  <si>
    <t>s (mm)</t>
  </si>
  <si>
    <t>h1 (mm)</t>
  </si>
  <si>
    <t>D (mm)</t>
  </si>
  <si>
    <t>h (mm)</t>
  </si>
  <si>
    <t>R (mm)</t>
  </si>
  <si>
    <t>r (mm)</t>
  </si>
  <si>
    <t>A szokásos méretek a vastag vonalak között</t>
  </si>
  <si>
    <t>Q (dm3)</t>
  </si>
  <si>
    <t>Tömeg: G (kg)</t>
  </si>
  <si>
    <t>Jel</t>
  </si>
  <si>
    <r>
      <t xml:space="preserve">20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C-on</t>
    </r>
  </si>
  <si>
    <r>
      <t xml:space="preserve">200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</si>
  <si>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r>
      <t xml:space="preserve">300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</si>
  <si>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r>
      <t xml:space="preserve">400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</si>
  <si>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r>
      <t>Szakító szilárdság 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N/mm</t>
    </r>
    <r>
      <rPr>
        <vertAlign val="superscript"/>
        <sz val="10"/>
        <rFont val="Arial"/>
        <family val="2"/>
      </rPr>
      <t>2</t>
    </r>
  </si>
  <si>
    <r>
      <t>Folyáshatár R</t>
    </r>
    <r>
      <rPr>
        <vertAlign val="subscript"/>
        <sz val="10"/>
        <rFont val="Arial"/>
        <family val="2"/>
      </rPr>
      <t>eH</t>
    </r>
    <r>
      <rPr>
        <sz val="10"/>
        <rFont val="Arial"/>
        <family val="0"/>
      </rPr>
      <t xml:space="preserve"> 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ill R</t>
    </r>
    <r>
      <rPr>
        <vertAlign val="subscript"/>
        <sz val="10"/>
        <rFont val="Arial"/>
        <family val="2"/>
      </rPr>
      <t>p02</t>
    </r>
  </si>
  <si>
    <t>P235 GH</t>
  </si>
  <si>
    <t>P265 GH</t>
  </si>
  <si>
    <t>P295 GH</t>
  </si>
  <si>
    <t>P355 GH</t>
  </si>
  <si>
    <t>360 - 480</t>
  </si>
  <si>
    <t>460 - 580</t>
  </si>
  <si>
    <t>410 - 530</t>
  </si>
  <si>
    <t xml:space="preserve"> 1.5</t>
  </si>
  <si>
    <t xml:space="preserve"> 1.6</t>
  </si>
  <si>
    <t>A nyomásrtartó edény veszélyességi mutatója:</t>
  </si>
  <si>
    <t xml:space="preserve"> 2.</t>
  </si>
  <si>
    <t>A hengeres köpeny falvastagságánakméretezése belső túlnyomásra (MSZ 13823-66):</t>
  </si>
  <si>
    <t xml:space="preserve"> 2.1</t>
  </si>
  <si>
    <t>Falvastagság</t>
  </si>
  <si>
    <t xml:space="preserve"> 2.2</t>
  </si>
  <si>
    <t>Ellenőrzés próbanyomásra:</t>
  </si>
  <si>
    <t xml:space="preserve"> 3.</t>
  </si>
  <si>
    <t>Domborított készülék fenék  mértezése belső túlnyomásra:</t>
  </si>
  <si>
    <t xml:space="preserve"> 3.1</t>
  </si>
  <si>
    <t>Szükséges falvastagság:</t>
  </si>
  <si>
    <t xml:space="preserve"> 3.2</t>
  </si>
  <si>
    <t>Pótlékolt falvastagság:</t>
  </si>
  <si>
    <t xml:space="preserve"> 4.</t>
  </si>
  <si>
    <t>Alátámasztások kiválasztása:</t>
  </si>
  <si>
    <t xml:space="preserve"> 5.</t>
  </si>
  <si>
    <t>A szerelvények csatlakozócsonkjának kiválasztása:</t>
  </si>
  <si>
    <t xml:space="preserve"> 5.1</t>
  </si>
  <si>
    <t>A biztonsági szelep csonkjának szükséges keresztmetszete (NYEBSZ):</t>
  </si>
  <si>
    <t xml:space="preserve"> 6.</t>
  </si>
  <si>
    <t>A búvónyílás alakjának meghatározása és szerkezeti részeinek méretezése:</t>
  </si>
  <si>
    <t xml:space="preserve"> 6.1</t>
  </si>
  <si>
    <t>A búvónyílás hengeres toldatának méretezése:</t>
  </si>
  <si>
    <t xml:space="preserve"> 6.2</t>
  </si>
  <si>
    <t>A búvónyílás síkfedelének ellenőrzése:</t>
  </si>
  <si>
    <t>A síkfedél leszorítócsavarjainak ellenőrzése:</t>
  </si>
  <si>
    <t xml:space="preserve"> 6.3</t>
  </si>
  <si>
    <t>Hegesztési varratjóság-fok:</t>
  </si>
  <si>
    <r>
      <t>Y = V*p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*k*(c+f+t) =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</si>
  <si>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&gt;= p</t>
    </r>
    <r>
      <rPr>
        <vertAlign val="subscript"/>
        <sz val="10"/>
        <rFont val="Arial"/>
        <family val="2"/>
      </rPr>
      <t>ü</t>
    </r>
    <r>
      <rPr>
        <sz val="10"/>
        <rFont val="Arial"/>
        <family val="0"/>
      </rPr>
      <t>/0,9 =</t>
    </r>
  </si>
  <si>
    <t>Anyag legyen:</t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</si>
  <si>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</si>
  <si>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</t>
    </r>
  </si>
  <si>
    <r>
      <t>z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</si>
  <si>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z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</si>
  <si>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>Biztonsági tényezők (z):</t>
  </si>
  <si>
    <t>z</t>
  </si>
  <si>
    <r>
      <t>p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 xml:space="preserve"> = 1,25*p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*</t>
    </r>
    <r>
      <rPr>
        <sz val="10"/>
        <rFont val="Arial"/>
        <family val="2"/>
      </rPr>
      <t>σ</t>
    </r>
    <r>
      <rPr>
        <vertAlign val="subscript"/>
        <sz val="10"/>
        <rFont val="Arial"/>
        <family val="2"/>
      </rPr>
      <t>m20</t>
    </r>
    <r>
      <rPr>
        <sz val="10"/>
        <rFont val="Arial"/>
        <family val="2"/>
      </rPr>
      <t>/σ</t>
    </r>
    <r>
      <rPr>
        <vertAlign val="subscript"/>
        <sz val="10"/>
        <rFont val="Arial"/>
        <family val="2"/>
      </rPr>
      <t xml:space="preserve">mt </t>
    </r>
    <r>
      <rPr>
        <sz val="10"/>
        <rFont val="Arial"/>
        <family val="2"/>
      </rPr>
      <t>=</t>
    </r>
  </si>
  <si>
    <t>c =</t>
  </si>
  <si>
    <t>f =</t>
  </si>
  <si>
    <t>t =</t>
  </si>
  <si>
    <t>k =</t>
  </si>
  <si>
    <r>
      <t>σ</t>
    </r>
    <r>
      <rPr>
        <vertAlign val="subscript"/>
        <sz val="10"/>
        <rFont val="Arial"/>
        <family val="2"/>
      </rPr>
      <t>mpr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>et</t>
    </r>
    <r>
      <rPr>
        <sz val="10"/>
        <rFont val="Arial"/>
        <family val="0"/>
      </rPr>
      <t>/z =</t>
    </r>
  </si>
  <si>
    <r>
      <t>σ</t>
    </r>
    <r>
      <rPr>
        <vertAlign val="subscript"/>
        <sz val="10"/>
        <rFont val="Arial"/>
        <family val="2"/>
      </rPr>
      <t>m1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/z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=</t>
    </r>
  </si>
  <si>
    <r>
      <t>σ</t>
    </r>
    <r>
      <rPr>
        <vertAlign val="subscript"/>
        <sz val="10"/>
        <rFont val="Arial"/>
        <family val="2"/>
      </rPr>
      <t>m2</t>
    </r>
    <r>
      <rPr>
        <sz val="10"/>
        <rFont val="Arial"/>
        <family val="0"/>
      </rPr>
      <t xml:space="preserve"> =R</t>
    </r>
    <r>
      <rPr>
        <vertAlign val="subscript"/>
        <sz val="10"/>
        <rFont val="Arial"/>
        <family val="2"/>
      </rPr>
      <t>mt</t>
    </r>
    <r>
      <rPr>
        <sz val="10"/>
        <rFont val="Arial"/>
        <family val="0"/>
      </rPr>
      <t>/z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</t>
    </r>
  </si>
  <si>
    <t>v =</t>
  </si>
  <si>
    <t>s &gt;= s'+c =</t>
  </si>
  <si>
    <r>
      <t>c = 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+c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</si>
  <si>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</si>
  <si>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</si>
  <si>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 xml:space="preserve"> =&gt; s =</t>
  </si>
  <si>
    <r>
      <t>σ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 xml:space="preserve"> = </t>
    </r>
  </si>
  <si>
    <r>
      <t>σ</t>
    </r>
    <r>
      <rPr>
        <vertAlign val="subscript"/>
        <sz val="10"/>
        <rFont val="Arial"/>
        <family val="2"/>
      </rPr>
      <t>mpr</t>
    </r>
  </si>
  <si>
    <r>
      <t>σ</t>
    </r>
    <r>
      <rPr>
        <vertAlign val="subscript"/>
        <sz val="10"/>
        <rFont val="Arial"/>
        <family val="2"/>
      </rPr>
      <t>pr</t>
    </r>
  </si>
  <si>
    <r>
      <t>s' = D*p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/ (4*</t>
    </r>
    <r>
      <rPr>
        <sz val="10"/>
        <rFont val="Arial"/>
        <family val="2"/>
      </rPr>
      <t>σ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*v) * </t>
    </r>
    <r>
      <rPr>
        <sz val="10"/>
        <rFont val="Arial"/>
        <family val="2"/>
      </rPr>
      <t>β</t>
    </r>
    <r>
      <rPr>
        <sz val="10"/>
        <rFont val="Arial"/>
        <family val="0"/>
      </rPr>
      <t xml:space="preserve"> =</t>
    </r>
  </si>
  <si>
    <t>β =</t>
  </si>
  <si>
    <t>A légtartály edényfeneke mélydomborírású legyen</t>
  </si>
  <si>
    <t>h/D</t>
  </si>
  <si>
    <t>d/gyök(D*s')</t>
  </si>
  <si>
    <t>d =</t>
  </si>
  <si>
    <t>sekélydomborítású</t>
  </si>
  <si>
    <t>mélydomborítású</t>
  </si>
  <si>
    <r>
      <t>β</t>
    </r>
    <r>
      <rPr>
        <sz val="10"/>
        <rFont val="Arial"/>
        <family val="0"/>
      </rPr>
      <t xml:space="preserve"> értékei</t>
    </r>
  </si>
  <si>
    <t>tele fenék</t>
  </si>
  <si>
    <t>kivágás esetén</t>
  </si>
  <si>
    <t>L' =</t>
  </si>
  <si>
    <t>L =</t>
  </si>
  <si>
    <t>a =</t>
  </si>
  <si>
    <t>m =</t>
  </si>
  <si>
    <r>
      <t>M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M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</si>
  <si>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F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</si>
  <si>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b' = b+2s~b+4s =</t>
  </si>
  <si>
    <t>sp = s~s+6mm =</t>
  </si>
  <si>
    <t>b =</t>
  </si>
  <si>
    <t>m/s</t>
  </si>
  <si>
    <t>NA</t>
  </si>
  <si>
    <t>Normál falvastagság (mm)</t>
  </si>
  <si>
    <r>
      <t>A cső külső átmérője d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(mm)</t>
    </r>
  </si>
  <si>
    <t>2,3 - 5</t>
  </si>
  <si>
    <t>2,6 - 6,3</t>
  </si>
  <si>
    <t>2,9 - 6,3</t>
  </si>
  <si>
    <t>2,9 - 7,1</t>
  </si>
  <si>
    <t>2,9 - 8</t>
  </si>
  <si>
    <t>3,2 - 10</t>
  </si>
  <si>
    <t>3,2 - 14</t>
  </si>
  <si>
    <t>3,6 - 14</t>
  </si>
  <si>
    <t>4,5 - 20</t>
  </si>
  <si>
    <t>6,3 - 25</t>
  </si>
  <si>
    <t>7,1 - 28</t>
  </si>
  <si>
    <t>4 - 18</t>
  </si>
  <si>
    <t>5 - 25</t>
  </si>
  <si>
    <t>Normál falvastagságnál nagyobb falvastagságok (mm)</t>
  </si>
  <si>
    <r>
      <t>σ</t>
    </r>
    <r>
      <rPr>
        <vertAlign val="subscript"/>
        <sz val="10"/>
        <rFont val="Arial"/>
        <family val="2"/>
      </rPr>
      <t>meg</t>
    </r>
    <r>
      <rPr>
        <sz val="10"/>
        <rFont val="Arial"/>
        <family val="2"/>
      </rPr>
      <t xml:space="preserve"> = R</t>
    </r>
    <r>
      <rPr>
        <vertAlign val="subscript"/>
        <sz val="10"/>
        <rFont val="Arial"/>
        <family val="2"/>
      </rPr>
      <t>eH</t>
    </r>
    <r>
      <rPr>
        <sz val="10"/>
        <rFont val="Arial"/>
        <family val="2"/>
      </rPr>
      <t>/n =</t>
    </r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</si>
  <si>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 d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>*pt / 2*σ</t>
    </r>
    <r>
      <rPr>
        <vertAlign val="subscript"/>
        <sz val="10"/>
        <rFont val="Arial"/>
        <family val="2"/>
      </rPr>
      <t>meg</t>
    </r>
    <r>
      <rPr>
        <sz val="10"/>
        <rFont val="Arial"/>
        <family val="2"/>
      </rPr>
      <t>*v =</t>
    </r>
  </si>
  <si>
    <t>n =</t>
  </si>
  <si>
    <t>Cső megnevezése</t>
  </si>
  <si>
    <t>Anyag</t>
  </si>
  <si>
    <r>
      <t>Szakító szil. 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N/mm</t>
    </r>
    <r>
      <rPr>
        <vertAlign val="superscript"/>
        <sz val="10"/>
        <rFont val="Arial"/>
        <family val="2"/>
      </rPr>
      <t>2</t>
    </r>
  </si>
  <si>
    <r>
      <t>Folyáshatár R</t>
    </r>
    <r>
      <rPr>
        <vertAlign val="subscript"/>
        <sz val="10"/>
        <rFont val="Arial"/>
        <family val="2"/>
      </rPr>
      <t>eH</t>
    </r>
    <r>
      <rPr>
        <sz val="10"/>
        <rFont val="Arial"/>
        <family val="0"/>
      </rPr>
      <t xml:space="preserve"> N/mm</t>
    </r>
    <r>
      <rPr>
        <vertAlign val="superscript"/>
        <sz val="10"/>
        <rFont val="Arial"/>
        <family val="2"/>
      </rPr>
      <t>2</t>
    </r>
  </si>
  <si>
    <t>Kereskedelmi minőségű cső</t>
  </si>
  <si>
    <t>St 33 R</t>
  </si>
  <si>
    <t>325 - 490</t>
  </si>
  <si>
    <t>Telített gőz esetén max. 10 bar</t>
  </si>
  <si>
    <r>
      <t xml:space="preserve">max. 180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</si>
  <si>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r>
      <t xml:space="preserve">max. 120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</si>
  <si>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Hőmérséklet</t>
  </si>
  <si>
    <t>Nyomás</t>
  </si>
  <si>
    <t>Folyadékok esetén max. 25 bar, veszélytelen gázok esetén mex. 10 bar</t>
  </si>
  <si>
    <t>St 34 RG</t>
  </si>
  <si>
    <t>St 37 RG</t>
  </si>
  <si>
    <t>St 42 RG</t>
  </si>
  <si>
    <t>St 52 RGT</t>
  </si>
  <si>
    <t>335 - 410</t>
  </si>
  <si>
    <t>365 - 440</t>
  </si>
  <si>
    <t>410 - 490</t>
  </si>
  <si>
    <t>510 - 610</t>
  </si>
  <si>
    <r>
      <t xml:space="preserve">max. 300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</si>
  <si>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max. 64 bar</t>
  </si>
  <si>
    <t>max. 160 bar</t>
  </si>
  <si>
    <t>Minőségi előírás szerinti csövek MSZ ENV 10220</t>
  </si>
  <si>
    <t>Anyag legyen</t>
  </si>
  <si>
    <t>c1 =</t>
  </si>
  <si>
    <t>c2 =</t>
  </si>
  <si>
    <r>
      <t>s = 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+c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</si>
  <si>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T =</t>
  </si>
  <si>
    <r>
      <t>t</t>
    </r>
    <r>
      <rPr>
        <vertAlign val="subscript"/>
        <sz val="10"/>
        <rFont val="Arial"/>
        <family val="2"/>
      </rPr>
      <t>ü</t>
    </r>
    <r>
      <rPr>
        <sz val="10"/>
        <rFont val="Arial"/>
        <family val="0"/>
      </rPr>
      <t xml:space="preserve"> =</t>
    </r>
  </si>
  <si>
    <t>K</t>
  </si>
  <si>
    <t>M =</t>
  </si>
  <si>
    <t>K =</t>
  </si>
  <si>
    <t>A =</t>
  </si>
  <si>
    <r>
      <t>mm</t>
    </r>
    <r>
      <rPr>
        <vertAlign val="superscript"/>
        <sz val="10"/>
        <rFont val="Arial"/>
        <family val="2"/>
      </rPr>
      <t>2</t>
    </r>
  </si>
  <si>
    <t>dmax =</t>
  </si>
  <si>
    <t xml:space="preserve"> 6.1.1</t>
  </si>
  <si>
    <t xml:space="preserve"> 6.1.2</t>
  </si>
  <si>
    <r>
      <t>d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</t>
    </r>
  </si>
  <si>
    <r>
      <t>o</t>
    </r>
    <r>
      <rPr>
        <sz val="10"/>
        <rFont val="Arial"/>
        <family val="0"/>
      </rPr>
      <t>C</t>
    </r>
  </si>
  <si>
    <r>
      <t>s' = D*p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/ 2*</t>
    </r>
    <r>
      <rPr>
        <sz val="10"/>
        <rFont val="Arial"/>
        <family val="2"/>
      </rPr>
      <t>σ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*v+p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</si>
  <si>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σ</t>
    </r>
    <r>
      <rPr>
        <vertAlign val="subscript"/>
        <sz val="10"/>
        <rFont val="Arial"/>
        <family val="2"/>
      </rPr>
      <t>m20</t>
    </r>
    <r>
      <rPr>
        <sz val="10"/>
        <rFont val="Arial"/>
        <family val="0"/>
      </rPr>
      <t>/σ</t>
    </r>
    <r>
      <rPr>
        <vertAlign val="subscript"/>
        <sz val="10"/>
        <rFont val="Arial"/>
        <family val="2"/>
      </rPr>
      <t>mt</t>
    </r>
    <r>
      <rPr>
        <sz val="10"/>
        <rFont val="Arial"/>
        <family val="0"/>
      </rPr>
      <t xml:space="preserve"> =</t>
    </r>
  </si>
  <si>
    <r>
      <t xml:space="preserve">mert T=20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</si>
  <si>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r>
      <t>p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=</t>
    </r>
  </si>
  <si>
    <t>bar</t>
  </si>
  <si>
    <r>
      <t>d/D</t>
    </r>
    <r>
      <rPr>
        <vertAlign val="subscript"/>
        <sz val="10"/>
        <rFont val="Arial"/>
        <family val="0"/>
      </rPr>
      <t>k =</t>
    </r>
  </si>
  <si>
    <t>d/D</t>
  </si>
  <si>
    <t>vk</t>
  </si>
  <si>
    <r>
      <t>d</t>
    </r>
    <r>
      <rPr>
        <vertAlign val="subscript"/>
        <sz val="10"/>
        <rFont val="Arial"/>
        <family val="2"/>
      </rPr>
      <t>választott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</si>
  <si>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>' = D*p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/ 2*</t>
    </r>
    <r>
      <rPr>
        <sz val="10"/>
        <rFont val="Arial"/>
        <family val="2"/>
      </rPr>
      <t>σ</t>
    </r>
    <r>
      <rPr>
        <vertAlign val="subscript"/>
        <sz val="10"/>
        <rFont val="Arial"/>
        <family val="2"/>
      </rPr>
      <t>meg</t>
    </r>
    <r>
      <rPr>
        <sz val="10"/>
        <rFont val="Arial"/>
        <family val="0"/>
      </rPr>
      <t>*v+p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</si>
  <si>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>k'előzetes</t>
    </r>
    <r>
      <rPr>
        <sz val="10"/>
        <rFont val="Arial"/>
        <family val="0"/>
      </rPr>
      <t xml:space="preserve"> =</t>
    </r>
  </si>
  <si>
    <t>Varratjósági fokhoz</t>
  </si>
  <si>
    <t>Búvónyíláshoz</t>
  </si>
  <si>
    <t>d/gyök(D*(sk-c))</t>
  </si>
  <si>
    <r>
      <t>v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=</t>
    </r>
  </si>
  <si>
    <t>b' =</t>
  </si>
  <si>
    <t xml:space="preserve"> =&gt; b =</t>
  </si>
  <si>
    <t>h' =</t>
  </si>
  <si>
    <t xml:space="preserve"> =&gt; h =</t>
  </si>
  <si>
    <t>Kivágás falvastagsága:</t>
  </si>
  <si>
    <t>Tárcsa paraméterei:</t>
  </si>
  <si>
    <t>Anyaga a tartály falával megegyezik</t>
  </si>
  <si>
    <t>Csatl. cső külső átmérő</t>
  </si>
  <si>
    <t>Karima</t>
  </si>
  <si>
    <t>Toldat</t>
  </si>
  <si>
    <t>Töm.felül</t>
  </si>
  <si>
    <t>Csavarok</t>
  </si>
  <si>
    <t>Tömeg</t>
  </si>
  <si>
    <t>D</t>
  </si>
  <si>
    <t>b</t>
  </si>
  <si>
    <r>
      <t>ø</t>
    </r>
    <r>
      <rPr>
        <sz val="10"/>
        <rFont val="Arial"/>
        <family val="0"/>
      </rPr>
      <t>K</t>
    </r>
  </si>
  <si>
    <t>h</t>
  </si>
  <si>
    <t>d1</t>
  </si>
  <si>
    <t>s</t>
  </si>
  <si>
    <t>d3</t>
  </si>
  <si>
    <t>r</t>
  </si>
  <si>
    <t>c</t>
  </si>
  <si>
    <t>d4</t>
  </si>
  <si>
    <t>f</t>
  </si>
  <si>
    <t>db</t>
  </si>
  <si>
    <t>kg/db</t>
  </si>
  <si>
    <t>Menet</t>
  </si>
  <si>
    <t>d2</t>
  </si>
  <si>
    <t>M10</t>
  </si>
  <si>
    <t>M12</t>
  </si>
  <si>
    <t>M16</t>
  </si>
  <si>
    <t>M20</t>
  </si>
  <si>
    <t xml:space="preserve"> =&gt; dk =</t>
  </si>
  <si>
    <t>d1 =</t>
  </si>
  <si>
    <t>d3 =</t>
  </si>
  <si>
    <t>øK =</t>
  </si>
  <si>
    <t>Tömítés</t>
  </si>
  <si>
    <t>d4 =</t>
  </si>
  <si>
    <t>NNY</t>
  </si>
  <si>
    <r>
      <t>D</t>
    </r>
    <r>
      <rPr>
        <vertAlign val="subscript"/>
        <sz val="10"/>
        <rFont val="Arial"/>
        <family val="2"/>
      </rPr>
      <t>köz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</si>
  <si>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</si>
  <si>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t>N</t>
  </si>
  <si>
    <t>N =</t>
  </si>
  <si>
    <r>
      <t>σ</t>
    </r>
    <r>
      <rPr>
        <vertAlign val="subscript"/>
        <sz val="10"/>
        <rFont val="Arial"/>
        <family val="2"/>
      </rPr>
      <t>meg</t>
    </r>
    <r>
      <rPr>
        <sz val="10"/>
        <rFont val="Arial"/>
        <family val="0"/>
      </rPr>
      <t xml:space="preserve"> =</t>
    </r>
  </si>
  <si>
    <t>Csavarokban ébredő erőhatás</t>
  </si>
  <si>
    <r>
      <t>F</t>
    </r>
    <r>
      <rPr>
        <vertAlign val="subscript"/>
        <sz val="10"/>
        <rFont val="Arial"/>
        <family val="2"/>
      </rPr>
      <t>töm1</t>
    </r>
    <r>
      <rPr>
        <sz val="10"/>
        <rFont val="Arial"/>
        <family val="0"/>
      </rPr>
      <t xml:space="preserve"> =</t>
    </r>
  </si>
  <si>
    <t>2b =</t>
  </si>
  <si>
    <r>
      <t xml:space="preserve">F </t>
    </r>
    <r>
      <rPr>
        <vertAlign val="subscript"/>
        <sz val="10"/>
        <rFont val="Arial"/>
        <family val="2"/>
      </rPr>
      <t>1 össz</t>
    </r>
    <r>
      <rPr>
        <sz val="10"/>
        <rFont val="Arial"/>
        <family val="0"/>
      </rPr>
      <t xml:space="preserve"> =</t>
    </r>
  </si>
  <si>
    <t>s' =</t>
  </si>
  <si>
    <t>s" =</t>
  </si>
  <si>
    <t>Anaga =</t>
  </si>
  <si>
    <t>S 235 JR</t>
  </si>
  <si>
    <t>d2 =</t>
  </si>
  <si>
    <t>Csavar minőség</t>
  </si>
  <si>
    <r>
      <t>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</t>
    </r>
  </si>
  <si>
    <r>
      <t>σ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</t>
    </r>
  </si>
  <si>
    <r>
      <t>σ</t>
    </r>
    <r>
      <rPr>
        <vertAlign val="subscript"/>
        <sz val="10"/>
        <rFont val="Arial"/>
        <family val="2"/>
      </rPr>
      <t>h</t>
    </r>
  </si>
  <si>
    <r>
      <t>σ</t>
    </r>
    <r>
      <rPr>
        <vertAlign val="subscript"/>
        <sz val="10"/>
        <rFont val="Arial"/>
        <family val="2"/>
      </rPr>
      <t>meg</t>
    </r>
  </si>
  <si>
    <r>
      <t>d</t>
    </r>
    <r>
      <rPr>
        <vertAlign val="subscript"/>
        <sz val="10"/>
        <rFont val="Arial"/>
        <family val="2"/>
      </rPr>
      <t xml:space="preserve">b bizt.sz. </t>
    </r>
    <r>
      <rPr>
        <sz val="10"/>
        <rFont val="Arial"/>
        <family val="0"/>
      </rPr>
      <t>=</t>
    </r>
  </si>
  <si>
    <r>
      <t>d</t>
    </r>
    <r>
      <rPr>
        <vertAlign val="subscript"/>
        <sz val="10"/>
        <rFont val="Arial"/>
        <family val="2"/>
      </rPr>
      <t>b töltő</t>
    </r>
    <r>
      <rPr>
        <sz val="10"/>
        <rFont val="Arial"/>
        <family val="2"/>
      </rPr>
      <t xml:space="preserve"> = 4*q / (v*pi) =</t>
    </r>
  </si>
  <si>
    <r>
      <t>d</t>
    </r>
    <r>
      <rPr>
        <vertAlign val="subscript"/>
        <sz val="10"/>
        <rFont val="Arial"/>
        <family val="2"/>
      </rPr>
      <t>b ürítő</t>
    </r>
    <r>
      <rPr>
        <sz val="10"/>
        <rFont val="Arial"/>
        <family val="2"/>
      </rPr>
      <t xml:space="preserve"> = 4*q / (v*pi) =</t>
    </r>
  </si>
  <si>
    <t>vakkarima</t>
  </si>
  <si>
    <t>k</t>
  </si>
  <si>
    <t>menet</t>
  </si>
  <si>
    <t>MSZ szám</t>
  </si>
  <si>
    <t>NA 500-as vakkarima adatai</t>
  </si>
  <si>
    <t>M24</t>
  </si>
  <si>
    <t>M30</t>
  </si>
  <si>
    <t>s"</t>
  </si>
  <si>
    <t>b + 2 mm</t>
  </si>
  <si>
    <t>Névleges nyomás 16 bar</t>
  </si>
  <si>
    <t>Névleges nyomás 10 bar</t>
  </si>
  <si>
    <t>Névleges nyomás 6 bar</t>
  </si>
  <si>
    <r>
      <t>h</t>
    </r>
    <r>
      <rPr>
        <vertAlign val="subscript"/>
        <sz val="10"/>
        <rFont val="Arial"/>
        <family val="2"/>
      </rPr>
      <t>töltő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</si>
  <si>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ürítő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</si>
  <si>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bizt. sz.</t>
    </r>
    <r>
      <rPr>
        <sz val="10"/>
        <rFont val="Arial"/>
        <family val="2"/>
      </rPr>
      <t xml:space="preserve"> =</t>
    </r>
  </si>
  <si>
    <t>Víztelenítő csonk legyen:</t>
  </si>
  <si>
    <t>NA 20</t>
  </si>
  <si>
    <r>
      <t>h</t>
    </r>
    <r>
      <rPr>
        <vertAlign val="subscript"/>
        <sz val="10"/>
        <rFont val="Arial"/>
        <family val="2"/>
      </rPr>
      <t>víztelenítő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</si>
  <si>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töltő csonk</t>
    </r>
    <r>
      <rPr>
        <sz val="10"/>
        <rFont val="Arial"/>
        <family val="0"/>
      </rPr>
      <t xml:space="preserve"> =</t>
    </r>
  </si>
  <si>
    <r>
      <t>V</t>
    </r>
    <r>
      <rPr>
        <vertAlign val="subscript"/>
        <sz val="10"/>
        <rFont val="Arial"/>
        <family val="2"/>
      </rPr>
      <t>ürítő csonk</t>
    </r>
    <r>
      <rPr>
        <sz val="10"/>
        <rFont val="Arial"/>
        <family val="0"/>
      </rPr>
      <t xml:space="preserve"> =</t>
    </r>
  </si>
  <si>
    <r>
      <t>V</t>
    </r>
    <r>
      <rPr>
        <vertAlign val="subscript"/>
        <sz val="10"/>
        <rFont val="Arial"/>
        <family val="2"/>
      </rPr>
      <t>víztelenítő csonk</t>
    </r>
    <r>
      <rPr>
        <sz val="10"/>
        <rFont val="Arial"/>
        <family val="0"/>
      </rPr>
      <t xml:space="preserve"> =</t>
    </r>
  </si>
  <si>
    <r>
      <t>V</t>
    </r>
    <r>
      <rPr>
        <vertAlign val="subscript"/>
        <sz val="10"/>
        <rFont val="Arial"/>
        <family val="2"/>
      </rPr>
      <t>bizt. sz. csonk</t>
    </r>
    <r>
      <rPr>
        <sz val="10"/>
        <rFont val="Arial"/>
        <family val="0"/>
      </rPr>
      <t xml:space="preserve"> =</t>
    </r>
  </si>
  <si>
    <r>
      <t>V</t>
    </r>
    <r>
      <rPr>
        <vertAlign val="subscript"/>
        <sz val="10"/>
        <rFont val="Arial"/>
        <family val="2"/>
      </rPr>
      <t>búvónyílás</t>
    </r>
    <r>
      <rPr>
        <sz val="10"/>
        <rFont val="Arial"/>
        <family val="0"/>
      </rPr>
      <t xml:space="preserve"> =</t>
    </r>
  </si>
  <si>
    <t>Méretek</t>
  </si>
  <si>
    <t>-</t>
  </si>
  <si>
    <t>a</t>
  </si>
  <si>
    <t>d</t>
  </si>
  <si>
    <t>e</t>
  </si>
  <si>
    <t>g</t>
  </si>
  <si>
    <t>kp</t>
  </si>
  <si>
    <t>95.310/01</t>
  </si>
  <si>
    <t>95.310/02</t>
  </si>
  <si>
    <t>95.310/04</t>
  </si>
  <si>
    <t>95.310/06</t>
  </si>
  <si>
    <t>95.310/07</t>
  </si>
  <si>
    <t>95.310/08</t>
  </si>
  <si>
    <t>95,310/10</t>
  </si>
  <si>
    <t>95.310/11</t>
  </si>
  <si>
    <t>95.310/12</t>
  </si>
  <si>
    <t>95.310/14</t>
  </si>
  <si>
    <t>95.310/15</t>
  </si>
  <si>
    <t>95.310/17</t>
  </si>
  <si>
    <t>s1</t>
  </si>
  <si>
    <t>A hozztartozó műszaki irány-elv sz. KGMI</t>
  </si>
  <si>
    <t>s2</t>
  </si>
  <si>
    <t>Teher-birás kp</t>
  </si>
  <si>
    <t>A készülék felekvő sugara R</t>
  </si>
  <si>
    <t>280 - 338</t>
  </si>
  <si>
    <t>95.310/16</t>
  </si>
  <si>
    <t>95.310/05</t>
  </si>
  <si>
    <t>95.310/03</t>
  </si>
  <si>
    <t>95.310/13</t>
  </si>
  <si>
    <t>95.310/09</t>
  </si>
  <si>
    <t>160 - 218</t>
  </si>
  <si>
    <t>220 - 278</t>
  </si>
  <si>
    <t>340 - 398</t>
  </si>
  <si>
    <t>400 - 460</t>
  </si>
  <si>
    <t>500 - 560</t>
  </si>
  <si>
    <t>600 - 660</t>
  </si>
  <si>
    <t>700 - 760</t>
  </si>
  <si>
    <t>800 - 860</t>
  </si>
  <si>
    <t>900 - 960</t>
  </si>
  <si>
    <t>1000 - 1060</t>
  </si>
  <si>
    <t>1100 - 1160</t>
  </si>
  <si>
    <t>1200 - 1260</t>
  </si>
  <si>
    <t>1300 - 1360</t>
  </si>
  <si>
    <t>1400 - 1460</t>
  </si>
  <si>
    <t>1500 - 1560</t>
  </si>
  <si>
    <t>1600 - 1660</t>
  </si>
  <si>
    <t>Alátámasztás paraméterei:</t>
  </si>
  <si>
    <t>e =</t>
  </si>
  <si>
    <t>g =</t>
  </si>
  <si>
    <t>s1 =</t>
  </si>
  <si>
    <t>s2 =</t>
  </si>
  <si>
    <t>megnevezés:</t>
  </si>
  <si>
    <t>lehetséges R</t>
  </si>
  <si>
    <t>Teherbírás:</t>
  </si>
  <si>
    <r>
      <t>v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</si>
  <si>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búvónyílás</t>
    </r>
    <r>
      <rPr>
        <sz val="10"/>
        <rFont val="Arial"/>
        <family val="2"/>
      </rPr>
      <t xml:space="preserve"> =</t>
    </r>
  </si>
  <si>
    <r>
      <t>d/gyök(D*(s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>-c)) =</t>
    </r>
  </si>
  <si>
    <t>enyém</t>
  </si>
  <si>
    <t>Attila</t>
  </si>
  <si>
    <t>M27</t>
  </si>
  <si>
    <t>bar =&gt;</t>
  </si>
  <si>
    <t>Megnevezés:</t>
  </si>
  <si>
    <t>Köpenny:</t>
  </si>
  <si>
    <t>Edényfenék:</t>
  </si>
  <si>
    <t>Táblalemez méretek:</t>
  </si>
  <si>
    <t>1000x2000</t>
  </si>
  <si>
    <t>1500x3000</t>
  </si>
  <si>
    <t>1500x6000</t>
  </si>
  <si>
    <t>1250x2500</t>
  </si>
  <si>
    <t>Köpeny méret:</t>
  </si>
  <si>
    <t>Csonkok:</t>
  </si>
  <si>
    <t>Töltőcsonk:</t>
  </si>
  <si>
    <t>Robi</t>
  </si>
  <si>
    <t>Karima:</t>
  </si>
  <si>
    <t>Cső:</t>
  </si>
  <si>
    <r>
      <t>ø</t>
    </r>
    <r>
      <rPr>
        <sz val="10"/>
        <rFont val="Arial"/>
        <family val="0"/>
      </rPr>
      <t>k =</t>
    </r>
  </si>
  <si>
    <t>Ürítőcsonk:</t>
  </si>
  <si>
    <r>
      <t>d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</si>
  <si>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</si>
  <si>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</t>
    </r>
  </si>
  <si>
    <t>Víztelenítő csonk:</t>
  </si>
  <si>
    <t>Biztoncsági szelep csonk:</t>
  </si>
  <si>
    <t>Búvónyílás:</t>
  </si>
  <si>
    <t>lemezből hengerelt, mint a köpeny</t>
  </si>
  <si>
    <t>Búvónyílás fenéklemez:</t>
  </si>
  <si>
    <t>NA 500</t>
  </si>
  <si>
    <t>Merevítő tárcsa:</t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</si>
  <si>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</si>
  <si>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>Vakkarima:</t>
  </si>
  <si>
    <r>
      <t>d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=</t>
    </r>
  </si>
  <si>
    <t>Névleges ny</t>
  </si>
  <si>
    <t>Msz szám</t>
  </si>
  <si>
    <t>Tömítő felület</t>
  </si>
  <si>
    <t>P</t>
  </si>
  <si>
    <t xml:space="preserve"> 6.4</t>
  </si>
  <si>
    <t>Keresztvarrat ellenőrzése:</t>
  </si>
  <si>
    <r>
      <t>σ</t>
    </r>
    <r>
      <rPr>
        <vertAlign val="subscript"/>
        <sz val="10"/>
        <rFont val="Arial"/>
        <family val="2"/>
      </rPr>
      <t>varrat meg</t>
    </r>
    <r>
      <rPr>
        <sz val="10"/>
        <rFont val="Arial"/>
        <family val="0"/>
      </rPr>
      <t xml:space="preserve"> = σ</t>
    </r>
    <r>
      <rPr>
        <vertAlign val="subscript"/>
        <sz val="10"/>
        <rFont val="Arial"/>
        <family val="2"/>
      </rPr>
      <t>meg</t>
    </r>
    <r>
      <rPr>
        <sz val="10"/>
        <rFont val="Arial"/>
        <family val="0"/>
      </rPr>
      <t xml:space="preserve"> *v =</t>
    </r>
  </si>
  <si>
    <t>Fax = pt*Ab =</t>
  </si>
  <si>
    <r>
      <t>σ</t>
    </r>
    <r>
      <rPr>
        <vertAlign val="subscript"/>
        <sz val="10"/>
        <rFont val="Arial"/>
        <family val="2"/>
      </rPr>
      <t>varr</t>
    </r>
    <r>
      <rPr>
        <sz val="10"/>
        <rFont val="Arial"/>
        <family val="0"/>
      </rPr>
      <t xml:space="preserve"> =</t>
    </r>
  </si>
  <si>
    <r>
      <t>σ</t>
    </r>
    <r>
      <rPr>
        <vertAlign val="subscript"/>
        <sz val="10"/>
        <rFont val="Arial"/>
        <family val="2"/>
      </rPr>
      <t>varr</t>
    </r>
  </si>
  <si>
    <r>
      <t>σ</t>
    </r>
    <r>
      <rPr>
        <vertAlign val="subscript"/>
        <sz val="10"/>
        <rFont val="Arial"/>
        <family val="2"/>
      </rPr>
      <t>varrat meg</t>
    </r>
  </si>
  <si>
    <t>N/mm2</t>
  </si>
  <si>
    <t>Alátámasztás:</t>
  </si>
  <si>
    <t>Kivágás minimális távolsága varrattól:</t>
  </si>
  <si>
    <t>Fenéken:</t>
  </si>
  <si>
    <t>Köpenyen:</t>
  </si>
  <si>
    <t>0,7*gyök(R*s) =</t>
  </si>
  <si>
    <t>Gábor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</si>
</sst>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</numFmts>
  <fonts count="15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0"/>
    </font>
    <font>
      <u val="single"/>
      <vertAlign val="subscript"/>
      <sz val="10"/>
      <name val="Arial"/>
      <family val="0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3" fontId="0" fillId="0" borderId="6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7" fontId="0" fillId="0" borderId="9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166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2" borderId="0" xfId="0" applyFont="1" applyFill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102</xdr:row>
      <xdr:rowOff>47625</xdr:rowOff>
    </xdr:from>
    <xdr:to>
      <xdr:col>8</xdr:col>
      <xdr:colOff>285750</xdr:colOff>
      <xdr:row>110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7059275"/>
          <a:ext cx="33147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4</xdr:row>
      <xdr:rowOff>76200</xdr:rowOff>
    </xdr:from>
    <xdr:to>
      <xdr:col>7</xdr:col>
      <xdr:colOff>190500</xdr:colOff>
      <xdr:row>11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540000">
          <a:off x="2933700" y="723900"/>
          <a:ext cx="2314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31</xdr:row>
      <xdr:rowOff>28575</xdr:rowOff>
    </xdr:from>
    <xdr:to>
      <xdr:col>8</xdr:col>
      <xdr:colOff>342900</xdr:colOff>
      <xdr:row>42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1540000">
          <a:off x="2933700" y="5086350"/>
          <a:ext cx="30765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47</xdr:row>
      <xdr:rowOff>66675</xdr:rowOff>
    </xdr:from>
    <xdr:to>
      <xdr:col>7</xdr:col>
      <xdr:colOff>571500</xdr:colOff>
      <xdr:row>54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1540000">
          <a:off x="3219450" y="7791450"/>
          <a:ext cx="2409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113</xdr:row>
      <xdr:rowOff>114300</xdr:rowOff>
    </xdr:from>
    <xdr:to>
      <xdr:col>7</xdr:col>
      <xdr:colOff>581025</xdr:colOff>
      <xdr:row>124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43275" y="18945225"/>
          <a:ext cx="22955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126</xdr:row>
      <xdr:rowOff>76200</xdr:rowOff>
    </xdr:from>
    <xdr:to>
      <xdr:col>8</xdr:col>
      <xdr:colOff>123825</xdr:colOff>
      <xdr:row>148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38425" y="21164550"/>
          <a:ext cx="31527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79</xdr:row>
      <xdr:rowOff>0</xdr:rowOff>
    </xdr:from>
    <xdr:to>
      <xdr:col>8</xdr:col>
      <xdr:colOff>247650</xdr:colOff>
      <xdr:row>90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1540000">
          <a:off x="2838450" y="13134975"/>
          <a:ext cx="30765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7"/>
  <sheetViews>
    <sheetView workbookViewId="0" topLeftCell="A18">
      <selection activeCell="D155" sqref="D155"/>
    </sheetView>
  </sheetViews>
  <sheetFormatPr defaultColWidth="9.140625" defaultRowHeight="12.75"/>
  <cols>
    <col min="1" max="1" width="23.28125" style="0" bestFit="1" customWidth="1"/>
    <col min="2" max="2" width="6.8515625" style="0" customWidth="1"/>
  </cols>
  <sheetData>
    <row r="1" ht="12.75">
      <c r="A1" s="2" t="s">
        <v>364</v>
      </c>
    </row>
    <row r="2" spans="1:2" ht="12.75">
      <c r="A2" t="s">
        <v>362</v>
      </c>
      <c r="B2" t="str">
        <f>CONCATENATE("Mélydomborítású edényfenék ",Méretezés!G17,"/",Méretezés!G21," MSZ 1455: ",Méretezés!C29)</f>
        <v>Mélydomborítású edényfenék 1300/12 MSZ 1455: P235 GH</v>
      </c>
    </row>
    <row r="3" spans="1:3" ht="12.75">
      <c r="A3" s="58" t="s">
        <v>26</v>
      </c>
      <c r="B3">
        <f>Méretezés!G21</f>
        <v>12</v>
      </c>
      <c r="C3" t="s">
        <v>32</v>
      </c>
    </row>
    <row r="4" spans="1:3" ht="12.75">
      <c r="A4" s="58" t="s">
        <v>28</v>
      </c>
      <c r="B4">
        <f>Méretezés!G19</f>
        <v>1170</v>
      </c>
      <c r="C4" t="s">
        <v>32</v>
      </c>
    </row>
    <row r="5" spans="1:3" ht="12.75">
      <c r="A5" s="58" t="s">
        <v>22</v>
      </c>
      <c r="B5">
        <f>Méretezés!G17</f>
        <v>1300</v>
      </c>
      <c r="C5" t="s">
        <v>32</v>
      </c>
    </row>
    <row r="6" spans="1:3" ht="12.75">
      <c r="A6" s="58" t="s">
        <v>29</v>
      </c>
      <c r="B6">
        <f>Méretezés!G20</f>
        <v>227</v>
      </c>
      <c r="C6" t="s">
        <v>32</v>
      </c>
    </row>
    <row r="7" spans="1:3" ht="12.75">
      <c r="A7" s="58" t="s">
        <v>27</v>
      </c>
      <c r="B7">
        <f>Méretezés!G18</f>
        <v>325</v>
      </c>
      <c r="C7" t="s">
        <v>32</v>
      </c>
    </row>
    <row r="8" spans="1:3" ht="15.75">
      <c r="A8" s="58" t="s">
        <v>37</v>
      </c>
      <c r="B8">
        <f>Méretezés!G22</f>
        <v>65</v>
      </c>
      <c r="C8" t="s">
        <v>32</v>
      </c>
    </row>
    <row r="10" ht="12.75">
      <c r="A10" s="2" t="s">
        <v>363</v>
      </c>
    </row>
    <row r="11" spans="1:3" ht="12.75">
      <c r="A11" t="s">
        <v>365</v>
      </c>
      <c r="C11" t="s">
        <v>366</v>
      </c>
    </row>
    <row r="12" ht="12.75">
      <c r="C12" t="s">
        <v>369</v>
      </c>
    </row>
    <row r="13" ht="12.75">
      <c r="C13" t="s">
        <v>367</v>
      </c>
    </row>
    <row r="14" ht="12.75">
      <c r="C14" t="s">
        <v>368</v>
      </c>
    </row>
    <row r="15" spans="1:2" ht="12.75">
      <c r="A15" t="s">
        <v>370</v>
      </c>
      <c r="B15" t="str">
        <f>CONCATENATE(ROUND(B5*PI(),1),"x",ROUND(Méretezés!C25,1))</f>
        <v>4084,1x2</v>
      </c>
    </row>
    <row r="16" spans="1:3" ht="12.75">
      <c r="A16" s="58" t="s">
        <v>26</v>
      </c>
      <c r="B16">
        <f>Méretezés!F60</f>
        <v>12</v>
      </c>
      <c r="C16" t="s">
        <v>32</v>
      </c>
    </row>
    <row r="17" ht="12.75">
      <c r="A17" s="58"/>
    </row>
    <row r="18" ht="12.75">
      <c r="A18" s="2" t="s">
        <v>371</v>
      </c>
    </row>
    <row r="20" spans="1:2" ht="12.75">
      <c r="A20" s="59" t="s">
        <v>383</v>
      </c>
      <c r="B20" t="s">
        <v>386</v>
      </c>
    </row>
    <row r="21" ht="12.75">
      <c r="A21" t="s">
        <v>362</v>
      </c>
    </row>
    <row r="22" spans="1:2" ht="12.75">
      <c r="A22" t="s">
        <v>375</v>
      </c>
      <c r="B22" t="s">
        <v>384</v>
      </c>
    </row>
    <row r="23" spans="1:3" ht="12.75">
      <c r="A23" t="s">
        <v>365</v>
      </c>
      <c r="C23" t="s">
        <v>366</v>
      </c>
    </row>
    <row r="24" ht="12.75">
      <c r="C24" t="s">
        <v>369</v>
      </c>
    </row>
    <row r="25" ht="12.75">
      <c r="C25" t="s">
        <v>367</v>
      </c>
    </row>
    <row r="26" ht="12.75">
      <c r="C26" t="s">
        <v>368</v>
      </c>
    </row>
    <row r="27" spans="1:2" ht="12.75">
      <c r="A27" t="s">
        <v>370</v>
      </c>
      <c r="B27" t="str">
        <f>CONCATENATE(ROUND(Méretezés!F142*PI(),1),"x",Méretezés!C143)</f>
        <v>1595,9x150</v>
      </c>
    </row>
    <row r="28" ht="12.75">
      <c r="A28" t="s">
        <v>387</v>
      </c>
    </row>
    <row r="29" spans="1:3" ht="12.75">
      <c r="A29" s="58" t="s">
        <v>139</v>
      </c>
      <c r="B29">
        <f>Méretezés!F156</f>
        <v>140</v>
      </c>
      <c r="C29" t="s">
        <v>32</v>
      </c>
    </row>
    <row r="30" spans="1:2" ht="12.75">
      <c r="A30" s="58" t="s">
        <v>27</v>
      </c>
      <c r="B30">
        <f>Méretezés!F158</f>
        <v>5</v>
      </c>
    </row>
    <row r="31" spans="1:2" ht="12.75">
      <c r="A31" t="s">
        <v>374</v>
      </c>
      <c r="B31" t="str">
        <f>CONCATENATE("Hegeszthető toldatos karima ",B20," MSZ ",IF(VALUE(LEFT(Méretezés!E$41,LEN(Méretezés!E$41)-29))=6,2921,IF(VALUE(LEFT(Méretezés!E$41,LEN(Méretezés!E$41)-29))=10,2922,2923))," NNY ",LEFT(Méretezés!E41,2))</f>
        <v>Hegeszthető toldatos karima NA 500 MSZ 2923 NNY 16</v>
      </c>
    </row>
    <row r="32" spans="1:3" ht="12.75">
      <c r="A32" s="58" t="s">
        <v>22</v>
      </c>
      <c r="B32">
        <f>VLOOKUP(VALUE(RIGHT(B20,LEN(B20)-3)),IF(VALUE(LEFT(Méretezés!E$41,LEN(Méretezés!E$41)-29))=6,'Heg.Toldatos karimák'!A$4:Q$18,IF(VALUE(LEFT(Méretezés!E$41,LEN(Méretezés!E$41)-29))=10,'Heg.Toldatos karimák'!A$24:Q$38,'Heg.Toldatos karimák'!A$44:Q$58)),3)</f>
        <v>715</v>
      </c>
      <c r="C32" t="s">
        <v>32</v>
      </c>
    </row>
    <row r="33" spans="1:3" ht="12.75">
      <c r="A33" s="58" t="s">
        <v>139</v>
      </c>
      <c r="B33">
        <f>VLOOKUP(VALUE(RIGHT(B20,LEN(B20)-3)),IF(VALUE(LEFT(Méretezés!E$41,LEN(Méretezés!E$41)-29))=6,'Heg.Toldatos karimák'!A$4:Q$18,IF(VALUE(LEFT(Méretezés!E$41,LEN(Méretezés!E$41)-29))=10,'Heg.Toldatos karimák'!A$24:Q$38,'Heg.Toldatos karimák'!A$44:Q$58)),4)</f>
        <v>34</v>
      </c>
      <c r="C33" t="s">
        <v>32</v>
      </c>
    </row>
    <row r="34" spans="1:3" ht="12.75">
      <c r="A34" s="31" t="s">
        <v>376</v>
      </c>
      <c r="B34">
        <f>VLOOKUP(VALUE(RIGHT(B20,LEN(B20)-3)),IF(VALUE(LEFT(Méretezés!E$41,LEN(Méretezés!E$41)-29))=6,'Heg.Toldatos karimák'!A$4:Q$18,IF(VALUE(LEFT(Méretezés!E$41,LEN(Méretezés!E$41)-29))=10,'Heg.Toldatos karimák'!A$24:Q$38,'Heg.Toldatos karimák'!A$44:Q$58)),5)</f>
        <v>650</v>
      </c>
      <c r="C34" t="s">
        <v>32</v>
      </c>
    </row>
    <row r="35" spans="1:3" ht="12.75">
      <c r="A35" s="31" t="s">
        <v>27</v>
      </c>
      <c r="B35">
        <f>VLOOKUP(VALUE(RIGHT(B20,LEN(B20)-3)),IF(VALUE(LEFT(Méretezés!E$41,LEN(Méretezés!E$41)-29))=6,'Heg.Toldatos karimák'!A$4:Q$18,IF(VALUE(LEFT(Méretezés!E$41,LEN(Méretezés!E$41)-29))=10,'Heg.Toldatos karimák'!A$24:Q$38,'Heg.Toldatos karimák'!A$44:Q$58)),6)</f>
        <v>90</v>
      </c>
      <c r="C35" t="s">
        <v>32</v>
      </c>
    </row>
    <row r="36" spans="1:3" ht="15.75">
      <c r="A36" s="58" t="s">
        <v>379</v>
      </c>
      <c r="B36">
        <f>VLOOKUP(VALUE(RIGHT(B20,LEN(B20)-3)),IF(VALUE(LEFT(Méretezés!E$41,LEN(Méretezés!E$41)-29))=6,'Heg.Toldatos karimák'!A$4:Q$18,IF(VALUE(LEFT(Méretezés!E$41,LEN(Méretezés!E$41)-29))=10,'Heg.Toldatos karimák'!A$24:Q$38,'Heg.Toldatos karimák'!A$44:Q$58)),7)</f>
        <v>508</v>
      </c>
      <c r="C36" t="s">
        <v>32</v>
      </c>
    </row>
    <row r="37" spans="1:3" ht="12.75">
      <c r="A37" s="58" t="s">
        <v>26</v>
      </c>
      <c r="B37">
        <f>VLOOKUP(VALUE(RIGHT(B20,LEN(B20)-3)),IF(VALUE(LEFT(Méretezés!E$41,LEN(Méretezés!E$41)-29))=6,'Heg.Toldatos karimák'!A$4:Q$18,IF(VALUE(LEFT(Méretezés!E$41,LEN(Méretezés!E$41)-29))=10,'Heg.Toldatos karimák'!A$24:Q$38,'Heg.Toldatos karimák'!A$44:Q$58)),8)</f>
        <v>8</v>
      </c>
      <c r="C37" t="s">
        <v>32</v>
      </c>
    </row>
    <row r="38" spans="1:3" ht="15.75">
      <c r="A38" s="58" t="s">
        <v>380</v>
      </c>
      <c r="B38">
        <f>VLOOKUP(VALUE(RIGHT(B20,LEN(B20)-3)),IF(VALUE(LEFT(Méretezés!E$41,LEN(Méretezés!E$41)-29))=6,'Heg.Toldatos karimák'!A$4:Q$18,IF(VALUE(LEFT(Méretezés!E$41,LEN(Méretezés!E$41)-29))=10,'Heg.Toldatos karimák'!A$24:Q$38,'Heg.Toldatos karimák'!A$44:Q$58)),9)</f>
        <v>548</v>
      </c>
      <c r="C38" t="s">
        <v>32</v>
      </c>
    </row>
    <row r="39" spans="1:3" ht="12.75">
      <c r="A39" s="58" t="s">
        <v>29</v>
      </c>
      <c r="B39">
        <f>VLOOKUP(VALUE(RIGHT(B20,LEN(B20)-3)),IF(VALUE(LEFT(Méretezés!E$41,LEN(Méretezés!E$41)-29))=6,'Heg.Toldatos karimák'!A$4:Q$18,IF(VALUE(LEFT(Méretezés!E$41,LEN(Méretezés!E$41)-29))=10,'Heg.Toldatos karimák'!A$24:Q$38,'Heg.Toldatos karimák'!A$44:Q$58)),10)</f>
        <v>12</v>
      </c>
      <c r="C39" t="s">
        <v>32</v>
      </c>
    </row>
    <row r="40" spans="1:3" ht="12.75">
      <c r="A40" s="58" t="s">
        <v>104</v>
      </c>
      <c r="B40">
        <f>VLOOKUP(VALUE(RIGHT(B20,LEN(B20)-3)),IF(VALUE(LEFT(Méretezés!E$41,LEN(Méretezés!E$41)-29))=6,'Heg.Toldatos karimák'!A$4:Q$18,IF(VALUE(LEFT(Méretezés!E$41,LEN(Méretezés!E$41)-29))=10,'Heg.Toldatos karimák'!A$24:Q$38,'Heg.Toldatos karimák'!A$44:Q$58)),11)</f>
        <v>16</v>
      </c>
      <c r="C40" t="s">
        <v>32</v>
      </c>
    </row>
    <row r="41" spans="1:3" ht="12.75">
      <c r="A41" s="58" t="s">
        <v>254</v>
      </c>
      <c r="B41">
        <f>VLOOKUP(VALUE(RIGHT(B20,LEN(B20)-3)),IF(VALUE(LEFT(Méretezés!E$41,LEN(Méretezés!E$41)-29))=6,'Heg.Toldatos karimák'!A$4:Q$18,IF(VALUE(LEFT(Méretezés!E$41,LEN(Méretezés!E$41)-29))=10,'Heg.Toldatos karimák'!A$24:Q$38,'Heg.Toldatos karimák'!A$44:Q$58)),12)</f>
        <v>610</v>
      </c>
      <c r="C41" t="s">
        <v>32</v>
      </c>
    </row>
    <row r="42" spans="1:3" ht="12.75">
      <c r="A42" s="58" t="s">
        <v>105</v>
      </c>
      <c r="B42">
        <f>VLOOKUP(VALUE(RIGHT(B20,LEN(B20)-3)),IF(VALUE(LEFT(Méretezés!E$41,LEN(Méretezés!E$41)-29))=6,'Heg.Toldatos karimák'!A$4:Q$18,IF(VALUE(LEFT(Méretezés!E$41,LEN(Méretezés!E$41)-29))=10,'Heg.Toldatos karimák'!A$24:Q$38,'Heg.Toldatos karimák'!A$44:Q$58)),13)</f>
        <v>4</v>
      </c>
      <c r="C42" t="s">
        <v>32</v>
      </c>
    </row>
    <row r="43" spans="1:3" ht="12.75">
      <c r="A43" s="58" t="s">
        <v>269</v>
      </c>
      <c r="B43">
        <f>VLOOKUP(VALUE(RIGHT(B20,LEN(B20)-3)),IF(VALUE(LEFT(Méretezés!E$41,LEN(Méretezés!E$41)-29))=6,'Heg.Toldatos karimák'!A$4:Q$18,IF(VALUE(LEFT(Méretezés!E$41,LEN(Méretezés!E$41)-29))=10,'Heg.Toldatos karimák'!A$24:Q$38,'Heg.Toldatos karimák'!A$44:Q$58)),16)</f>
        <v>33</v>
      </c>
      <c r="C43" t="s">
        <v>32</v>
      </c>
    </row>
    <row r="45" spans="1:2" ht="12.75">
      <c r="A45" s="59" t="s">
        <v>385</v>
      </c>
      <c r="B45" t="s">
        <v>386</v>
      </c>
    </row>
    <row r="46" ht="12.75">
      <c r="A46" t="s">
        <v>362</v>
      </c>
    </row>
    <row r="47" spans="1:2" ht="12.75">
      <c r="A47" t="s">
        <v>389</v>
      </c>
      <c r="B47" t="str">
        <f>CONCATENATE("Vakkarima B ",B45," MSZ ",VLOOKUP(Méretezés!C162,'7. táblázat'!A4:J6,10)," NNY ",Méretezés!C162)</f>
        <v>Vakkarima B NA 500 MSZ 4583 NNY 16</v>
      </c>
    </row>
    <row r="48" spans="1:3" ht="12.75">
      <c r="A48" s="58" t="s">
        <v>22</v>
      </c>
      <c r="B48">
        <f>VLOOKUP(Méretezés!C162,'7. táblázat'!A4:J6,2)</f>
        <v>715</v>
      </c>
      <c r="C48" t="s">
        <v>32</v>
      </c>
    </row>
    <row r="49" spans="1:3" ht="12.75">
      <c r="A49" s="58" t="s">
        <v>139</v>
      </c>
      <c r="B49">
        <f>VLOOKUP(Méretezés!C162,'7. táblázat'!A4:J6,3)</f>
        <v>34</v>
      </c>
      <c r="C49" t="s">
        <v>32</v>
      </c>
    </row>
    <row r="50" spans="1:3" ht="12.75">
      <c r="A50" s="31" t="s">
        <v>376</v>
      </c>
      <c r="B50">
        <f>VLOOKUP(Méretezés!C162,'7. táblázat'!A4:J6,4)</f>
        <v>650</v>
      </c>
      <c r="C50" t="s">
        <v>32</v>
      </c>
    </row>
    <row r="51" spans="1:3" ht="15.75">
      <c r="A51" s="58" t="s">
        <v>379</v>
      </c>
      <c r="B51">
        <f>VLOOKUP(Méretezés!C162,'7. táblázat'!A4:J6,5)</f>
        <v>478</v>
      </c>
      <c r="C51" t="s">
        <v>32</v>
      </c>
    </row>
    <row r="52" spans="1:3" ht="15.75">
      <c r="A52" s="58" t="s">
        <v>388</v>
      </c>
      <c r="B52">
        <f>VLOOKUP(Méretezés!C162,'7. táblázat'!A4:J6,8)</f>
        <v>33</v>
      </c>
      <c r="C52" t="s">
        <v>32</v>
      </c>
    </row>
    <row r="53" ht="12.75">
      <c r="A53" s="2"/>
    </row>
    <row r="54" spans="1:2" ht="12.75">
      <c r="A54" s="2" t="s">
        <v>372</v>
      </c>
      <c r="B54" t="str">
        <f>Méretezés!F110</f>
        <v>NA 80</v>
      </c>
    </row>
    <row r="55" ht="12.75">
      <c r="A55" t="s">
        <v>362</v>
      </c>
    </row>
    <row r="56" spans="1:2" ht="12.75">
      <c r="A56" t="s">
        <v>375</v>
      </c>
      <c r="B56" t="str">
        <f>CONCATENATE("Acélcső ",B57,"x",B58,"-3000 MSZ 99")&amp;" "&amp;Méretezés!C117&amp;" MSZEN 10027"</f>
        <v>Acélcső 89x3,2-3000 MSZ 99 St 33 R MSZEN 10027</v>
      </c>
    </row>
    <row r="57" spans="1:3" ht="15.75">
      <c r="A57" s="58" t="s">
        <v>378</v>
      </c>
      <c r="B57">
        <f>(VLOOKUP(VALUE(RIGHT(B54,LEN(B54)-3)),'3. táblázat'!A2:D14,2))</f>
        <v>89</v>
      </c>
      <c r="C57" t="s">
        <v>32</v>
      </c>
    </row>
    <row r="58" spans="1:3" ht="12.75">
      <c r="A58" s="58" t="s">
        <v>26</v>
      </c>
      <c r="B58">
        <f>(VLOOKUP(VALUE(RIGHT(B54,LEN(B54)-3)),'3. táblázat'!A2:D14,3))</f>
        <v>3.2</v>
      </c>
      <c r="C58" t="s">
        <v>32</v>
      </c>
    </row>
    <row r="59" spans="1:2" ht="12.75">
      <c r="A59" t="s">
        <v>374</v>
      </c>
      <c r="B59" t="str">
        <f>CONCATENATE("Hegeszthető toldatos karima ",B54," MSZ ",IF(VALUE(LEFT(Méretezés!E$41,LEN(Méretezés!E$41)-29))=6,2921,IF(VALUE(LEFT(Méretezés!E$41,LEN(Méretezés!E$41)-29))=10,2922,2923))," NNY ",LEFT(Méretezés!E41,2))</f>
        <v>Hegeszthető toldatos karima NA 80 MSZ 2923 NNY 16</v>
      </c>
    </row>
    <row r="60" spans="1:3" ht="12.75">
      <c r="A60" s="58" t="s">
        <v>22</v>
      </c>
      <c r="B60">
        <f>VLOOKUP(VALUE(RIGHT(B54,LEN(B54)-3)),IF(VALUE(LEFT(Méretezés!E$41,LEN(Méretezés!E$41)-29))=6,'Heg.Toldatos karimák'!A$4:Q$18,IF(VALUE(LEFT(Méretezés!E$41,LEN(Méretezés!E$41)-29))=10,'Heg.Toldatos karimák'!A$24:Q$38,'Heg.Toldatos karimák'!A$44:Q$58)),3)</f>
        <v>200</v>
      </c>
      <c r="C60" t="s">
        <v>32</v>
      </c>
    </row>
    <row r="61" spans="1:3" ht="12.75">
      <c r="A61" s="58" t="s">
        <v>139</v>
      </c>
      <c r="B61">
        <f>VLOOKUP(VALUE(RIGHT(B54,LEN(B54)-3)),IF(VALUE(LEFT(Méretezés!E$41,LEN(Méretezés!E$41)-29))=6,'Heg.Toldatos karimák'!A$4:Q$18,IF(VALUE(LEFT(Méretezés!E$41,LEN(Méretezés!E$41)-29))=10,'Heg.Toldatos karimák'!A$24:Q$38,'Heg.Toldatos karimák'!A$44:Q$58)),4)</f>
        <v>20</v>
      </c>
      <c r="C61" t="s">
        <v>32</v>
      </c>
    </row>
    <row r="62" spans="1:3" ht="12.75">
      <c r="A62" s="31" t="s">
        <v>376</v>
      </c>
      <c r="B62">
        <f>VLOOKUP(VALUE(RIGHT(B54,LEN(B54)-3)),IF(VALUE(LEFT(Méretezés!E$41,LEN(Méretezés!E$41)-29))=6,'Heg.Toldatos karimák'!A$4:Q$18,IF(VALUE(LEFT(Méretezés!E$41,LEN(Méretezés!E$41)-29))=10,'Heg.Toldatos karimák'!A$24:Q$38,'Heg.Toldatos karimák'!A$44:Q$58)),5)</f>
        <v>160</v>
      </c>
      <c r="C62" t="s">
        <v>32</v>
      </c>
    </row>
    <row r="63" spans="1:3" ht="12.75">
      <c r="A63" s="31" t="s">
        <v>27</v>
      </c>
      <c r="B63">
        <f>VLOOKUP(VALUE(RIGHT(B54,LEN(B54)-3)),IF(VALUE(LEFT(Méretezés!E$41,LEN(Méretezés!E$41)-29))=6,'Heg.Toldatos karimák'!A$4:Q$18,IF(VALUE(LEFT(Méretezés!E$41,LEN(Méretezés!E$41)-29))=10,'Heg.Toldatos karimák'!A$24:Q$38,'Heg.Toldatos karimák'!A$44:Q$58)),6)</f>
        <v>50</v>
      </c>
      <c r="C63" t="s">
        <v>32</v>
      </c>
    </row>
    <row r="64" spans="1:3" ht="15.75">
      <c r="A64" s="58" t="s">
        <v>379</v>
      </c>
      <c r="B64">
        <f>VLOOKUP(VALUE(RIGHT(B54,LEN(B54)-3)),IF(VALUE(LEFT(Méretezés!E$41,LEN(Méretezés!E$41)-29))=6,'Heg.Toldatos karimák'!A$4:Q$18,IF(VALUE(LEFT(Méretezés!E$41,LEN(Méretezés!E$41)-29))=10,'Heg.Toldatos karimák'!A$24:Q$38,'Heg.Toldatos karimák'!A$44:Q$58)),7)</f>
        <v>89</v>
      </c>
      <c r="C64" t="s">
        <v>32</v>
      </c>
    </row>
    <row r="65" spans="1:3" ht="12.75">
      <c r="A65" s="58" t="s">
        <v>26</v>
      </c>
      <c r="B65">
        <f>VLOOKUP(VALUE(RIGHT(B54,LEN(B54)-3)),IF(VALUE(LEFT(Méretezés!E$41,LEN(Méretezés!E$41)-29))=6,'Heg.Toldatos karimák'!A$4:Q$18,IF(VALUE(LEFT(Méretezés!E$41,LEN(Méretezés!E$41)-29))=10,'Heg.Toldatos karimák'!A$24:Q$38,'Heg.Toldatos karimák'!A$44:Q$58)),8)</f>
        <v>3.5</v>
      </c>
      <c r="C65" t="s">
        <v>32</v>
      </c>
    </row>
    <row r="66" spans="1:3" ht="15.75">
      <c r="A66" s="58" t="s">
        <v>380</v>
      </c>
      <c r="B66">
        <f>VLOOKUP(VALUE(RIGHT(B54,LEN(B54)-3)),IF(VALUE(LEFT(Méretezés!E$41,LEN(Méretezés!E$41)-29))=6,'Heg.Toldatos karimák'!A$4:Q$18,IF(VALUE(LEFT(Méretezés!E$41,LEN(Méretezés!E$41)-29))=10,'Heg.Toldatos karimák'!A$24:Q$38,'Heg.Toldatos karimák'!A$44:Q$58)),9)</f>
        <v>105</v>
      </c>
      <c r="C66" t="s">
        <v>32</v>
      </c>
    </row>
    <row r="67" spans="1:3" ht="12.75">
      <c r="A67" s="58" t="s">
        <v>29</v>
      </c>
      <c r="B67">
        <f>VLOOKUP(VALUE(RIGHT(B54,LEN(B54)-3)),IF(VALUE(LEFT(Méretezés!E$41,LEN(Méretezés!E$41)-29))=6,'Heg.Toldatos karimák'!A$4:Q$18,IF(VALUE(LEFT(Méretezés!E$41,LEN(Méretezés!E$41)-29))=10,'Heg.Toldatos karimák'!A$24:Q$38,'Heg.Toldatos karimák'!A$44:Q$58)),10)</f>
        <v>8</v>
      </c>
      <c r="C67" t="s">
        <v>32</v>
      </c>
    </row>
    <row r="68" spans="1:3" ht="12.75">
      <c r="A68" s="58" t="s">
        <v>104</v>
      </c>
      <c r="B68">
        <f>VLOOKUP(VALUE(RIGHT(B54,LEN(B54)-3)),IF(VALUE(LEFT(Méretezés!E$41,LEN(Méretezés!E$41)-29))=6,'Heg.Toldatos karimák'!A$4:Q$18,IF(VALUE(LEFT(Méretezés!E$41,LEN(Méretezés!E$41)-29))=10,'Heg.Toldatos karimák'!A$24:Q$38,'Heg.Toldatos karimák'!A$44:Q$58)),11)</f>
        <v>12</v>
      </c>
      <c r="C68" t="s">
        <v>32</v>
      </c>
    </row>
    <row r="69" spans="1:3" ht="12.75">
      <c r="A69" s="58" t="s">
        <v>254</v>
      </c>
      <c r="B69">
        <f>VLOOKUP(VALUE(RIGHT(B54,LEN(B54)-3)),IF(VALUE(LEFT(Méretezés!E$41,LEN(Méretezés!E$41)-29))=6,'Heg.Toldatos karimák'!A$4:Q$18,IF(VALUE(LEFT(Méretezés!E$41,LEN(Méretezés!E$41)-29))=10,'Heg.Toldatos karimák'!A$24:Q$38,'Heg.Toldatos karimák'!A$44:Q$58)),12)</f>
        <v>138</v>
      </c>
      <c r="C69" t="s">
        <v>32</v>
      </c>
    </row>
    <row r="70" spans="1:3" ht="12.75">
      <c r="A70" s="58" t="s">
        <v>105</v>
      </c>
      <c r="B70">
        <f>VLOOKUP(VALUE(RIGHT(B54,LEN(B54)-3)),IF(VALUE(LEFT(Méretezés!E$41,LEN(Méretezés!E$41)-29))=6,'Heg.Toldatos karimák'!A$4:Q$18,IF(VALUE(LEFT(Méretezés!E$41,LEN(Méretezés!E$41)-29))=10,'Heg.Toldatos karimák'!A$24:Q$38,'Heg.Toldatos karimák'!A$44:Q$58)),13)</f>
        <v>3</v>
      </c>
      <c r="C70" t="s">
        <v>32</v>
      </c>
    </row>
    <row r="71" spans="1:3" ht="12.75">
      <c r="A71" s="58" t="s">
        <v>269</v>
      </c>
      <c r="B71">
        <f>VLOOKUP(VALUE(RIGHT(B54,LEN(B54)-3)),IF(VALUE(LEFT(Méretezés!E$41,LEN(Méretezés!E$41)-29))=6,'Heg.Toldatos karimák'!A$4:Q$18,IF(VALUE(LEFT(Méretezés!E$41,LEN(Méretezés!E$41)-29))=10,'Heg.Toldatos karimák'!A$24:Q$38,'Heg.Toldatos karimák'!A$44:Q$58)),16)</f>
        <v>18</v>
      </c>
      <c r="C71" t="s">
        <v>32</v>
      </c>
    </row>
    <row r="73" spans="1:2" ht="12.75">
      <c r="A73" s="59" t="s">
        <v>377</v>
      </c>
      <c r="B73" t="str">
        <f>Méretezés!F113</f>
        <v>NA 40</v>
      </c>
    </row>
    <row r="74" ht="12.75">
      <c r="A74" t="s">
        <v>362</v>
      </c>
    </row>
    <row r="75" spans="1:2" ht="12.75">
      <c r="A75" t="s">
        <v>375</v>
      </c>
      <c r="B75" t="str">
        <f>CONCATENATE("Acélcső ",B76,"x",B77,"-3000 MSZ 99")&amp;" "&amp;Méretezés!C117&amp;" MSZEN 10027"</f>
        <v>Acélcső 44,5x2,6-3000 MSZ 99 St 33 R MSZEN 10027</v>
      </c>
    </row>
    <row r="76" spans="1:3" ht="15.75">
      <c r="A76" s="58" t="s">
        <v>378</v>
      </c>
      <c r="B76">
        <f>(VLOOKUP(VALUE(RIGHT(B73,LEN(B73)-3)),'3. táblázat'!A2:D14,2))</f>
        <v>44.5</v>
      </c>
      <c r="C76" t="s">
        <v>32</v>
      </c>
    </row>
    <row r="77" spans="1:3" ht="12.75">
      <c r="A77" s="58" t="s">
        <v>26</v>
      </c>
      <c r="B77">
        <f>(VLOOKUP(VALUE(RIGHT(B73,LEN(B73)-3)),'3. táblázat'!A2:D14,3))</f>
        <v>2.6</v>
      </c>
      <c r="C77" t="s">
        <v>32</v>
      </c>
    </row>
    <row r="78" spans="1:2" ht="12.75">
      <c r="A78" t="s">
        <v>374</v>
      </c>
      <c r="B78" t="str">
        <f>CONCATENATE("Hegeszthető toldatos karima ",B73," MSZ ",IF(VALUE(LEFT(Méretezés!E$41,LEN(Méretezés!E$41)-29))=6,2921,IF(VALUE(LEFT(Méretezés!E$41,LEN(Méretezés!E$41)-29))=10,2922,2923))," NNY ",LEFT(Méretezés!E41,2))</f>
        <v>Hegeszthető toldatos karima NA 40 MSZ 2923 NNY 16</v>
      </c>
    </row>
    <row r="79" spans="1:3" ht="12.75">
      <c r="A79" s="58" t="s">
        <v>22</v>
      </c>
      <c r="B79">
        <f>VLOOKUP(VALUE(RIGHT(B73,LEN(B73)-3)),IF(VALUE(LEFT(Méretezés!E$41,LEN(Méretezés!E$41)-29))=6,'Heg.Toldatos karimák'!A$4:Q$18,IF(VALUE(LEFT(Méretezés!E$41,LEN(Méretezés!$E41)-29))=10,'Heg.Toldatos karimák'!A$24:Q$38,'Heg.Toldatos karimák'!A$44:Q$58)),3)</f>
        <v>150</v>
      </c>
      <c r="C79" t="s">
        <v>32</v>
      </c>
    </row>
    <row r="80" spans="1:3" ht="12.75">
      <c r="A80" s="58" t="s">
        <v>139</v>
      </c>
      <c r="B80">
        <f>VLOOKUP(VALUE(RIGHT(B73,LEN(B73)-3)),IF(VALUE(LEFT(Méretezés!E$41,LEN(Méretezés!E$41)-29))=6,'Heg.Toldatos karimák'!A$4:Q$18,IF(VALUE(LEFT(Méretezés!E$41,LEN(Méretezés!E$41)-29))=10,'Heg.Toldatos karimák'!A$24:Q$38,'Heg.Toldatos karimák'!A$44:Q$58)),4)</f>
        <v>18</v>
      </c>
      <c r="C80" t="s">
        <v>32</v>
      </c>
    </row>
    <row r="81" spans="1:3" ht="12.75">
      <c r="A81" s="31" t="s">
        <v>376</v>
      </c>
      <c r="B81">
        <f>VLOOKUP(VALUE(RIGHT(B73,LEN(B73)-3)),IF(VALUE(LEFT(Méretezés!E$41,LEN(Méretezés!E$41)-29))=6,'Heg.Toldatos karimák'!A$4:Q$18,IF(VALUE(LEFT(Méretezés!E$41,LEN(Méretezés!E$41)-29))=10,'Heg.Toldatos karimák'!A$24:Q$38,'Heg.Toldatos karimák'!A$44:Q$58)),5)</f>
        <v>110</v>
      </c>
      <c r="C81" t="s">
        <v>32</v>
      </c>
    </row>
    <row r="82" spans="1:3" ht="12.75">
      <c r="A82" s="31" t="s">
        <v>27</v>
      </c>
      <c r="B82">
        <f>VLOOKUP(VALUE(RIGHT(B73,LEN(B73)-3)),IF(VALUE(LEFT(Méretezés!E$41,LEN(Méretezés!E$41)-29))=6,'Heg.Toldatos karimák'!A$4:Q$18,IF(VALUE(LEFT(Méretezés!E$41,LEN(Méretezés!E$41)-29))=10,'Heg.Toldatos karimák'!A$24:Q$38,'Heg.Toldatos karimák'!A$44:Q$58)),6)</f>
        <v>45</v>
      </c>
      <c r="C82" t="s">
        <v>32</v>
      </c>
    </row>
    <row r="83" spans="1:3" ht="15.75">
      <c r="A83" s="58" t="s">
        <v>379</v>
      </c>
      <c r="B83">
        <f>VLOOKUP(VALUE(RIGHT(B73,LEN(B73)-3)),IF(VALUE(LEFT(Méretezés!E$41,LEN(Méretezés!E$41)-29))=6,'Heg.Toldatos karimák'!A$4:Q$18,IF(VALUE(LEFT(Méretezés!E$41,LEN(Méretezés!E$41)-29))=10,'Heg.Toldatos karimák'!A$24:Q$38,'Heg.Toldatos karimák'!A$44:Q$58)),7)</f>
        <v>44.5</v>
      </c>
      <c r="C83" t="s">
        <v>32</v>
      </c>
    </row>
    <row r="84" spans="1:3" ht="12.75">
      <c r="A84" s="58" t="s">
        <v>26</v>
      </c>
      <c r="B84">
        <f>VLOOKUP(VALUE(RIGHT(B73,LEN(B73)-3)),IF(VALUE(LEFT(Méretezés!E$41,LEN(Méretezés!E$41)-29))=6,'Heg.Toldatos karimák'!A$4:Q$18,IF(VALUE(LEFT(Méretezés!E$41,LEN(Méretezés!E$41)-29))=10,'Heg.Toldatos karimák'!A$24:Q$38,'Heg.Toldatos karimák'!A$44:Q$58)),8)</f>
        <v>3</v>
      </c>
      <c r="C84" t="s">
        <v>32</v>
      </c>
    </row>
    <row r="85" spans="1:3" ht="15.75">
      <c r="A85" s="58" t="s">
        <v>380</v>
      </c>
      <c r="B85">
        <f>VLOOKUP(VALUE(RIGHT(B73,LEN(B73)-3)),IF(VALUE(LEFT(Méretezés!E$41,LEN(Méretezés!E$41)-29))=6,'Heg.Toldatos karimák'!A$4:Q$18,IF(VALUE(LEFT(Méretezés!E$41,LEN(Méretezés!E$41)-29))=10,'Heg.Toldatos karimák'!A$24:Q$38,'Heg.Toldatos karimák'!A$44:Q$58)),9)</f>
        <v>60</v>
      </c>
      <c r="C85" t="s">
        <v>32</v>
      </c>
    </row>
    <row r="86" spans="1:3" ht="12.75">
      <c r="A86" s="58" t="s">
        <v>29</v>
      </c>
      <c r="B86">
        <f>VLOOKUP(VALUE(RIGHT(B73,LEN(B73)-3)),IF(VALUE(LEFT(Méretezés!E$41,LEN(Méretezés!E$41)-29))=6,'Heg.Toldatos karimák'!A$4:Q$18,IF(VALUE(LEFT(Méretezés!E$41,LEN(Méretezés!E$41)-29))=10,'Heg.Toldatos karimák'!A$24:Q$38,'Heg.Toldatos karimák'!A$44:Q$58)),10)</f>
        <v>6</v>
      </c>
      <c r="C86" t="s">
        <v>32</v>
      </c>
    </row>
    <row r="87" spans="1:3" ht="12.75">
      <c r="A87" s="58" t="s">
        <v>104</v>
      </c>
      <c r="B87">
        <f>VLOOKUP(VALUE(RIGHT(B73,LEN(B73)-3)),IF(VALUE(LEFT(Méretezés!E$41,LEN(Méretezés!E$41)-29))=6,'Heg.Toldatos karimák'!A$4:Q$18,IF(VALUE(LEFT(Méretezés!E$41,LEN(Méretezés!E$41)-29))=10,'Heg.Toldatos karimák'!A$24:Q$38,'Heg.Toldatos karimák'!A$44:Q$58)),11)</f>
        <v>7</v>
      </c>
      <c r="C87" t="s">
        <v>32</v>
      </c>
    </row>
    <row r="88" spans="1:3" ht="12.75">
      <c r="A88" s="58" t="s">
        <v>254</v>
      </c>
      <c r="B88">
        <f>VLOOKUP(VALUE(RIGHT(B73,LEN(B73)-3)),IF(VALUE(LEFT(Méretezés!E$41,LEN(Méretezés!E$41)-29))=6,'Heg.Toldatos karimák'!A$4:Q$18,IF(VALUE(LEFT(Méretezés!E$41,LEN(Méretezés!E$41)-29))=10,'Heg.Toldatos karimák'!A$24:Q$38,'Heg.Toldatos karimák'!A$44:Q$58)),12)</f>
        <v>88</v>
      </c>
      <c r="C88" t="s">
        <v>32</v>
      </c>
    </row>
    <row r="89" spans="1:3" ht="12.75">
      <c r="A89" s="58" t="s">
        <v>105</v>
      </c>
      <c r="B89">
        <f>VLOOKUP(VALUE(RIGHT(B73,LEN(B73)-3)),IF(VALUE(LEFT(Méretezés!E$41,LEN(Méretezés!E$41)-29))=6,'Heg.Toldatos karimák'!A$4:Q$18,IF(VALUE(LEFT(Méretezés!E$41,LEN(Méretezés!E$41)-29))=10,'Heg.Toldatos karimák'!A$24:Q$38,'Heg.Toldatos karimák'!A$44:Q$58)),13)</f>
        <v>3</v>
      </c>
      <c r="C89" t="s">
        <v>32</v>
      </c>
    </row>
    <row r="90" spans="1:3" ht="12.75">
      <c r="A90" s="58" t="s">
        <v>269</v>
      </c>
      <c r="B90">
        <f>VLOOKUP(VALUE(RIGHT(B73,LEN(B73)-3)),IF(VALUE(LEFT(Méretezés!E$41,LEN(Méretezés!E$41)-29))=6,'Heg.Toldatos karimák'!A$4:Q$18,IF(VALUE(LEFT(Méretezés!E$41,LEN(Méretezés!E$41)-29))=10,'Heg.Toldatos karimák'!A$24:Q$38,'Heg.Toldatos karimák'!A$44:Q$58)),16)</f>
        <v>18</v>
      </c>
      <c r="C90" t="s">
        <v>32</v>
      </c>
    </row>
    <row r="92" spans="1:2" ht="12.75">
      <c r="A92" s="2" t="s">
        <v>382</v>
      </c>
      <c r="B92" t="str">
        <f>Méretezés!F134</f>
        <v>NA 80</v>
      </c>
    </row>
    <row r="93" ht="12.75">
      <c r="A93" t="s">
        <v>362</v>
      </c>
    </row>
    <row r="94" spans="1:2" ht="12.75">
      <c r="A94" t="s">
        <v>375</v>
      </c>
      <c r="B94" t="str">
        <f>CONCATENATE("Acélcső ",B95,"x",B96,"-3000 MSZ 99")&amp;" "&amp;Méretezés!C117&amp;" MSZEN 10027"</f>
        <v>Acélcső 89x3,2-3000 MSZ 99 St 33 R MSZEN 10027</v>
      </c>
    </row>
    <row r="95" spans="1:3" ht="15.75">
      <c r="A95" s="58" t="s">
        <v>378</v>
      </c>
      <c r="B95">
        <f>(VLOOKUP(VALUE(RIGHT(B92,LEN(B92)-3)),'3. táblázat'!A2:D14,2))</f>
        <v>89</v>
      </c>
      <c r="C95" t="s">
        <v>32</v>
      </c>
    </row>
    <row r="96" spans="1:3" ht="12.75">
      <c r="A96" s="58" t="s">
        <v>26</v>
      </c>
      <c r="B96">
        <f>(VLOOKUP(VALUE(RIGHT(B92,LEN(B92)-3)),'3. táblázat'!A2:D14,3))</f>
        <v>3.2</v>
      </c>
      <c r="C96" t="s">
        <v>32</v>
      </c>
    </row>
    <row r="97" spans="1:2" ht="12.75">
      <c r="A97" t="s">
        <v>374</v>
      </c>
      <c r="B97" t="str">
        <f>CONCATENATE("Hegeszthető toldatos karima ",B92," MSZ ",IF(VALUE(LEFT(Méretezés!E$41,LEN(Méretezés!E$41)-29))=6,2921,IF(VALUE(LEFT(Méretezés!E$41,LEN(Méretezés!E$41)-29))=10,2922,2923))," NNY ",LEFT(Méretezés!E41,2))</f>
        <v>Hegeszthető toldatos karima NA 80 MSZ 2923 NNY 16</v>
      </c>
    </row>
    <row r="98" spans="1:3" ht="12.75">
      <c r="A98" s="58" t="s">
        <v>22</v>
      </c>
      <c r="B98">
        <f>VLOOKUP(VALUE(RIGHT(B92,LEN(B92)-3)),IF(VALUE(LEFT(Méretezés!E$41,LEN(Méretezés!E$41)-29))=6,'Heg.Toldatos karimák'!A$4:Q$18,IF(VALUE(LEFT(Méretezés!E$41,LEN(Méretezés!E$41)-29))=10,'Heg.Toldatos karimák'!A$24:Q$38,'Heg.Toldatos karimák'!A$44:Q$58)),3)</f>
        <v>200</v>
      </c>
      <c r="C98" t="s">
        <v>32</v>
      </c>
    </row>
    <row r="99" spans="1:3" ht="12.75">
      <c r="A99" s="58" t="s">
        <v>139</v>
      </c>
      <c r="B99">
        <f>VLOOKUP(VALUE(RIGHT(B92,LEN(B92)-3)),IF(VALUE(LEFT(Méretezés!E$41,LEN(Méretezés!E$41)-29))=6,'Heg.Toldatos karimák'!A$4:Q$18,IF(VALUE(LEFT(Méretezés!E$41,LEN(Méretezés!E$41)-29))=10,'Heg.Toldatos karimák'!A$24:Q$38,'Heg.Toldatos karimák'!A$44:Q$58)),4)</f>
        <v>20</v>
      </c>
      <c r="C99" t="s">
        <v>32</v>
      </c>
    </row>
    <row r="100" spans="1:3" ht="12.75">
      <c r="A100" s="31" t="s">
        <v>376</v>
      </c>
      <c r="B100">
        <f>VLOOKUP(VALUE(RIGHT(B92,LEN(B92)-3)),IF(VALUE(LEFT(Méretezés!E$41,LEN(Méretezés!E$41)-29))=6,'Heg.Toldatos karimák'!A$4:Q$18,IF(VALUE(LEFT(Méretezés!E$41,LEN(Méretezés!E$41)-29))=10,'Heg.Toldatos karimák'!A$24:Q$38,'Heg.Toldatos karimák'!A$44:Q$58)),5)</f>
        <v>160</v>
      </c>
      <c r="C100" t="s">
        <v>32</v>
      </c>
    </row>
    <row r="101" spans="1:3" ht="12.75">
      <c r="A101" s="31" t="s">
        <v>27</v>
      </c>
      <c r="B101">
        <f>VLOOKUP(VALUE(RIGHT(B92,LEN(B92)-3)),IF(VALUE(LEFT(Méretezés!E$41,LEN(Méretezés!E$41)-29))=6,'Heg.Toldatos karimák'!A$4:Q$18,IF(VALUE(LEFT(Méretezés!E$41,LEN(Méretezés!E$41)-29))=10,'Heg.Toldatos karimák'!A$24:Q$38,'Heg.Toldatos karimák'!A$44:Q$58)),6)</f>
        <v>50</v>
      </c>
      <c r="C101" t="s">
        <v>32</v>
      </c>
    </row>
    <row r="102" spans="1:3" ht="15.75">
      <c r="A102" s="58" t="s">
        <v>379</v>
      </c>
      <c r="B102">
        <f>VLOOKUP(VALUE(RIGHT(B92,LEN(B92)-3)),IF(VALUE(LEFT(Méretezés!E$41,LEN(Méretezés!E$41)-29))=6,'Heg.Toldatos karimák'!A$4:Q$18,IF(VALUE(LEFT(Méretezés!E$41,LEN(Méretezés!E$41)-29))=10,'Heg.Toldatos karimák'!A$24:Q$38,'Heg.Toldatos karimák'!A$44:Q$58)),7)</f>
        <v>89</v>
      </c>
      <c r="C102" t="s">
        <v>32</v>
      </c>
    </row>
    <row r="103" spans="1:3" ht="12.75">
      <c r="A103" s="58" t="s">
        <v>26</v>
      </c>
      <c r="B103">
        <f>VLOOKUP(VALUE(RIGHT(B92,LEN(B92)-3)),IF(VALUE(LEFT(Méretezés!E$41,LEN(Méretezés!E$41)-29))=6,'Heg.Toldatos karimák'!A$4:Q$18,IF(VALUE(LEFT(Méretezés!E$41,LEN(Méretezés!E$41)-29))=10,'Heg.Toldatos karimák'!A$24:Q$38,'Heg.Toldatos karimák'!A$44:Q$58)),8)</f>
        <v>3.5</v>
      </c>
      <c r="C103" t="s">
        <v>32</v>
      </c>
    </row>
    <row r="104" spans="1:3" ht="15.75">
      <c r="A104" s="58" t="s">
        <v>380</v>
      </c>
      <c r="B104">
        <f>VLOOKUP(VALUE(RIGHT(B92,LEN(B92)-3)),IF(VALUE(LEFT(Méretezés!E$41,LEN(Méretezés!E$41)-29))=6,'Heg.Toldatos karimák'!A$4:Q$18,IF(VALUE(LEFT(Méretezés!E$41,LEN(Méretezés!E$41)-29))=10,'Heg.Toldatos karimák'!A$24:Q$38,'Heg.Toldatos karimák'!A$44:Q$58)),9)</f>
        <v>105</v>
      </c>
      <c r="C104" t="s">
        <v>32</v>
      </c>
    </row>
    <row r="105" spans="1:3" ht="12.75">
      <c r="A105" s="58" t="s">
        <v>29</v>
      </c>
      <c r="B105">
        <f>VLOOKUP(VALUE(RIGHT(B92,LEN(B92)-3)),IF(VALUE(LEFT(Méretezés!E$41,LEN(Méretezés!E$41)-29))=6,'Heg.Toldatos karimák'!A$4:Q$18,IF(VALUE(LEFT(Méretezés!E$41,LEN(Méretezés!E$41)-29))=10,'Heg.Toldatos karimák'!A$24:Q$38,'Heg.Toldatos karimák'!A$44:Q$58)),10)</f>
        <v>8</v>
      </c>
      <c r="C105" t="s">
        <v>32</v>
      </c>
    </row>
    <row r="106" spans="1:3" ht="12.75">
      <c r="A106" s="58" t="s">
        <v>104</v>
      </c>
      <c r="B106">
        <f>VLOOKUP(VALUE(RIGHT(B92,LEN(B92)-3)),IF(VALUE(LEFT(Méretezés!E$41,LEN(Méretezés!E$41)-29))=6,'Heg.Toldatos karimák'!A$4:Q$18,IF(VALUE(LEFT(Méretezés!E$41,LEN(Méretezés!E$41)-29))=10,'Heg.Toldatos karimák'!A$24:Q$38,'Heg.Toldatos karimák'!A$44:Q$58)),11)</f>
        <v>12</v>
      </c>
      <c r="C106" t="s">
        <v>32</v>
      </c>
    </row>
    <row r="107" spans="1:3" ht="12.75">
      <c r="A107" s="58" t="s">
        <v>254</v>
      </c>
      <c r="B107">
        <f>VLOOKUP(VALUE(RIGHT(B92,LEN(B92)-3)),IF(VALUE(LEFT(Méretezés!E$41,LEN(Méretezés!E$41)-29))=6,'Heg.Toldatos karimák'!A$4:Q$18,IF(VALUE(LEFT(Méretezés!E$41,LEN(Méretezés!E$41)-29))=10,'Heg.Toldatos karimák'!A$24:Q$38,'Heg.Toldatos karimák'!A$44:Q$58)),12)</f>
        <v>138</v>
      </c>
      <c r="C107" t="s">
        <v>32</v>
      </c>
    </row>
    <row r="108" spans="1:3" ht="12.75">
      <c r="A108" s="58" t="s">
        <v>105</v>
      </c>
      <c r="B108">
        <f>VLOOKUP(VALUE(RIGHT(B92,LEN(B92)-3)),IF(VALUE(LEFT(Méretezés!E$41,LEN(Méretezés!E$41)-29))=6,'Heg.Toldatos karimák'!A$4:Q$18,IF(VALUE(LEFT(Méretezés!E$41,LEN(Méretezés!E$41)-29))=10,'Heg.Toldatos karimák'!A$24:Q$38,'Heg.Toldatos karimák'!A$44:Q$58)),13)</f>
        <v>3</v>
      </c>
      <c r="C108" t="s">
        <v>32</v>
      </c>
    </row>
    <row r="109" spans="1:3" ht="12.75">
      <c r="A109" s="58" t="s">
        <v>269</v>
      </c>
      <c r="B109">
        <f>VLOOKUP(VALUE(RIGHT(B92,LEN(B92)-3)),IF(VALUE(LEFT(Méretezés!E$41,LEN(Méretezés!E$41)-29))=6,'Heg.Toldatos karimák'!A$4:Q$18,IF(VALUE(LEFT(Méretezés!E$41,LEN(Méretezés!E$41)-29))=10,'Heg.Toldatos karimák'!A$24:Q$38,'Heg.Toldatos karimák'!A$44:Q$58)),16)</f>
        <v>18</v>
      </c>
      <c r="C109" t="s">
        <v>32</v>
      </c>
    </row>
    <row r="111" spans="1:2" ht="12.75">
      <c r="A111" s="59" t="s">
        <v>381</v>
      </c>
      <c r="B111" t="s">
        <v>294</v>
      </c>
    </row>
    <row r="112" ht="12.75">
      <c r="A112" t="s">
        <v>362</v>
      </c>
    </row>
    <row r="113" spans="1:2" ht="12.75">
      <c r="A113" t="s">
        <v>375</v>
      </c>
      <c r="B113" t="str">
        <f>CONCATENATE("Acélcső ",B114,"x",B115,"-3000 MSZ 99")&amp;" "&amp;Méretezés!C117&amp;" MSZEN 10027"</f>
        <v>Acélcső 25x2,3-3000 MSZ 99 St 33 R MSZEN 10027</v>
      </c>
    </row>
    <row r="114" spans="1:3" ht="15.75">
      <c r="A114" s="58" t="s">
        <v>378</v>
      </c>
      <c r="B114">
        <v>25</v>
      </c>
      <c r="C114" t="s">
        <v>32</v>
      </c>
    </row>
    <row r="115" spans="1:3" ht="12.75">
      <c r="A115" s="58" t="s">
        <v>26</v>
      </c>
      <c r="B115">
        <v>2.3</v>
      </c>
      <c r="C115" t="s">
        <v>32</v>
      </c>
    </row>
    <row r="116" spans="1:2" ht="12.75">
      <c r="A116" t="s">
        <v>374</v>
      </c>
      <c r="B116" t="str">
        <f>CONCATENATE("Lapos karima B ",B111," MSZ ",VLOOKUP(IF(VALUE(LEFT(Méretezés!E$41,LEN(Méretezés!E$41)-29))=6,6,10),'8. táblázat'!A3:L51,12)," NNY ",LEFT(Méretezés!E41,2))</f>
        <v>Lapos karima B NA 20 MSZ 2969 NNY 16</v>
      </c>
    </row>
    <row r="117" spans="1:3" ht="15.75">
      <c r="A117" s="58" t="s">
        <v>380</v>
      </c>
      <c r="B117">
        <f>VLOOKUP(IF(VALUE(LEFT(Méretezés!E$41,LEN(Méretezés!E$41)-29))=6,6,10),'8. táblázat'!A3:L5,2)</f>
        <v>25.5</v>
      </c>
      <c r="C117" t="s">
        <v>32</v>
      </c>
    </row>
    <row r="118" spans="1:3" ht="12.75">
      <c r="A118" s="58" t="s">
        <v>22</v>
      </c>
      <c r="B118">
        <f>VLOOKUP(IF(VALUE(LEFT(Méretezés!E$41,LEN(Méretezés!E$41)-29))=6,6,10),'8. táblázat'!A3:L5,3)</f>
        <v>105</v>
      </c>
      <c r="C118" t="s">
        <v>32</v>
      </c>
    </row>
    <row r="119" spans="1:3" ht="12.75">
      <c r="A119" s="58" t="s">
        <v>139</v>
      </c>
      <c r="B119">
        <f>VLOOKUP(IF(VALUE(LEFT(Méretezés!E$41,LEN(Méretezés!E$41)-29))=6,6,10),'8. táblázat'!A3:L5,4)</f>
        <v>16</v>
      </c>
      <c r="C119" t="s">
        <v>32</v>
      </c>
    </row>
    <row r="120" spans="1:3" ht="12.75">
      <c r="A120" s="31" t="s">
        <v>376</v>
      </c>
      <c r="B120">
        <f>VLOOKUP(IF(VALUE(LEFT(Méretezés!E$41,LEN(Méretezés!E$41)-29))=6,6,10),'8. táblázat'!A3:L5,5)</f>
        <v>75</v>
      </c>
      <c r="C120" t="s">
        <v>32</v>
      </c>
    </row>
    <row r="121" spans="1:3" ht="15.75">
      <c r="A121" s="58" t="s">
        <v>390</v>
      </c>
      <c r="B121">
        <f>VLOOKUP(IF(VALUE(LEFT(Méretezés!E$41,LEN(Méretezés!E$41)-29))=6,6,10),'8. táblázat'!A3:L5,6)</f>
        <v>58</v>
      </c>
      <c r="C121" t="s">
        <v>32</v>
      </c>
    </row>
    <row r="122" spans="1:3" ht="15.75">
      <c r="A122" s="58" t="s">
        <v>388</v>
      </c>
      <c r="B122">
        <f>VLOOKUP(IF(VALUE(LEFT(Méretezés!E$41,LEN(Méretezés!E$41)-29))=6,6,10),'8. táblázat'!A3:L5,10)</f>
        <v>14</v>
      </c>
      <c r="C122" t="s">
        <v>32</v>
      </c>
    </row>
    <row r="123" spans="1:3" ht="12.75">
      <c r="A123" s="58" t="s">
        <v>105</v>
      </c>
      <c r="B123">
        <f>VLOOKUP(IF(VALUE(LEFT(Méretezés!E$41,LEN(Méretezés!E$41)-29))=6,6,10),'8. táblázat'!A3:L5,10)</f>
        <v>14</v>
      </c>
      <c r="C123" t="s">
        <v>32</v>
      </c>
    </row>
    <row r="125" ht="12.75">
      <c r="A125" s="59" t="s">
        <v>403</v>
      </c>
    </row>
    <row r="126" spans="1:2" ht="12.75">
      <c r="A126" t="str">
        <f>Méretezés!B106</f>
        <v>megnevezés:</v>
      </c>
      <c r="B126" t="str">
        <f>Méretezés!C106</f>
        <v>Alacsony készüléknyereg R = 650 KGSZ 95.310 S235 JRG2</v>
      </c>
    </row>
    <row r="127" spans="1:3" ht="12.75">
      <c r="A127" t="str">
        <f>Méretezés!B94</f>
        <v>R =</v>
      </c>
      <c r="B127">
        <f>Méretezés!C94</f>
        <v>650</v>
      </c>
      <c r="C127" t="str">
        <f>Méretezés!D94</f>
        <v>mm</v>
      </c>
    </row>
    <row r="128" spans="1:3" ht="12.75">
      <c r="A128" t="str">
        <f>Méretezés!B95</f>
        <v>Teherbírás:</v>
      </c>
      <c r="B128">
        <f>Méretezés!C95</f>
        <v>55000</v>
      </c>
      <c r="C128" t="str">
        <f>Méretezés!D95</f>
        <v>kp</v>
      </c>
    </row>
    <row r="129" spans="1:3" ht="12.75">
      <c r="A129" t="str">
        <f>Méretezés!B96</f>
        <v>a =</v>
      </c>
      <c r="B129">
        <f>Méretezés!C96</f>
        <v>830</v>
      </c>
      <c r="C129" t="str">
        <f>Méretezés!D96</f>
        <v>mm</v>
      </c>
    </row>
    <row r="130" spans="1:3" ht="12.75">
      <c r="A130" t="str">
        <f>Méretezés!B97</f>
        <v>b =</v>
      </c>
      <c r="B130">
        <f>Méretezés!C97</f>
        <v>300</v>
      </c>
      <c r="C130" t="str">
        <f>Méretezés!D97</f>
        <v>mm</v>
      </c>
    </row>
    <row r="131" spans="1:3" ht="12.75">
      <c r="A131" t="str">
        <f>Méretezés!B98</f>
        <v>c =</v>
      </c>
      <c r="B131" t="str">
        <f>Méretezés!C98</f>
        <v>-</v>
      </c>
      <c r="C131" t="str">
        <f>Méretezés!D98</f>
        <v>mm</v>
      </c>
    </row>
    <row r="132" spans="1:3" ht="12.75">
      <c r="A132" t="str">
        <f>Méretezés!B99</f>
        <v>d =</v>
      </c>
      <c r="B132">
        <f>Méretezés!C99</f>
        <v>28</v>
      </c>
      <c r="C132" t="str">
        <f>Méretezés!D99</f>
        <v>mm</v>
      </c>
    </row>
    <row r="133" spans="1:3" ht="12.75">
      <c r="A133" t="str">
        <f>Méretezés!B100</f>
        <v>e =</v>
      </c>
      <c r="B133">
        <f>Méretezés!C100</f>
        <v>240</v>
      </c>
      <c r="C133" t="str">
        <f>Méretezés!D100</f>
        <v>mm</v>
      </c>
    </row>
    <row r="134" spans="1:3" ht="12.75">
      <c r="A134" t="str">
        <f>Méretezés!B101</f>
        <v>f =</v>
      </c>
      <c r="B134">
        <f>Méretezés!C101</f>
        <v>630</v>
      </c>
      <c r="C134" t="str">
        <f>Méretezés!D101</f>
        <v>mm</v>
      </c>
    </row>
    <row r="135" spans="1:3" ht="12.75">
      <c r="A135" t="str">
        <f>Méretezés!B102</f>
        <v>g =</v>
      </c>
      <c r="B135">
        <f>Méretezés!C102</f>
        <v>105</v>
      </c>
      <c r="C135" t="str">
        <f>Méretezés!D102</f>
        <v>mm</v>
      </c>
    </row>
    <row r="136" spans="1:3" ht="12.75">
      <c r="A136" t="str">
        <f>Méretezés!B103</f>
        <v>h =</v>
      </c>
      <c r="B136">
        <f>Méretezés!C103</f>
        <v>250</v>
      </c>
      <c r="C136" t="str">
        <f>Méretezés!D103</f>
        <v>mm</v>
      </c>
    </row>
    <row r="137" spans="1:3" ht="12.75">
      <c r="A137" t="str">
        <f>Méretezés!B104</f>
        <v>s1 =</v>
      </c>
      <c r="B137">
        <f>Méretezés!C104</f>
        <v>14</v>
      </c>
      <c r="C137" t="str">
        <f>Méretezés!D104</f>
        <v>mm</v>
      </c>
    </row>
    <row r="138" spans="1:3" ht="12.75">
      <c r="A138" t="str">
        <f>Méretezés!B105</f>
        <v>s2 =</v>
      </c>
      <c r="B138">
        <f>Méretezés!C105</f>
        <v>10</v>
      </c>
      <c r="C138" t="str">
        <f>Méretezés!D105</f>
        <v>mm</v>
      </c>
    </row>
    <row r="140" spans="1:3" ht="12.75">
      <c r="A140" t="s">
        <v>133</v>
      </c>
      <c r="B140">
        <f>Méretezés!C88</f>
        <v>523.9592603583353</v>
      </c>
      <c r="C140" t="s">
        <v>32</v>
      </c>
    </row>
    <row r="141" spans="1:3" ht="12.75">
      <c r="A141" t="s">
        <v>132</v>
      </c>
      <c r="B141">
        <f>Méretezés!C87</f>
        <v>2531.2041563204607</v>
      </c>
      <c r="C141" t="s">
        <v>32</v>
      </c>
    </row>
    <row r="143" ht="12.75">
      <c r="A143" s="2" t="s">
        <v>404</v>
      </c>
    </row>
    <row r="144" ht="12.75">
      <c r="A144" t="s">
        <v>405</v>
      </c>
    </row>
    <row r="145" spans="1:3" ht="12.75">
      <c r="A145" t="s">
        <v>407</v>
      </c>
      <c r="B145">
        <f>0.7*SQRT(B4*B3)</f>
        <v>82.9433541641523</v>
      </c>
      <c r="C145" t="s">
        <v>32</v>
      </c>
    </row>
    <row r="146" ht="12.75">
      <c r="A146" t="s">
        <v>406</v>
      </c>
    </row>
    <row r="147" spans="1:3" ht="12.75">
      <c r="A147" t="s">
        <v>407</v>
      </c>
      <c r="B147">
        <f>0.7*SQRT(B5/2*B16)</f>
        <v>61.82232606429492</v>
      </c>
      <c r="C147" t="s">
        <v>32</v>
      </c>
    </row>
  </sheetData>
  <printOptions/>
  <pageMargins left="0.75" right="0.75" top="1" bottom="1" header="0.5" footer="0.5"/>
  <pageSetup horizontalDpi="600" verticalDpi="600" orientation="portrait" paperSize="9" scale="70" r:id="rId2"/>
  <rowBreaks count="1" manualBreakCount="1">
    <brk id="71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C2" sqref="C2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213</v>
      </c>
    </row>
    <row r="2" spans="1:8" ht="12.75">
      <c r="A2" t="s">
        <v>208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</row>
    <row r="3" spans="1:8" ht="12.75">
      <c r="A3" t="s">
        <v>209</v>
      </c>
      <c r="B3">
        <v>1</v>
      </c>
      <c r="C3">
        <v>0.8</v>
      </c>
      <c r="D3">
        <v>0.72</v>
      </c>
      <c r="E3">
        <v>0.65</v>
      </c>
      <c r="F3">
        <v>0.6</v>
      </c>
      <c r="G3">
        <v>0.56</v>
      </c>
      <c r="H3">
        <v>0.53</v>
      </c>
    </row>
    <row r="5" ht="12.75">
      <c r="A5" t="s">
        <v>214</v>
      </c>
    </row>
    <row r="6" spans="1:10" ht="12.75">
      <c r="A6" t="s">
        <v>215</v>
      </c>
      <c r="B6">
        <v>0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</row>
    <row r="7" spans="1:10" ht="12.75">
      <c r="A7" t="s">
        <v>209</v>
      </c>
      <c r="B7">
        <v>1</v>
      </c>
      <c r="C7">
        <v>0.67</v>
      </c>
      <c r="D7">
        <v>0.47</v>
      </c>
      <c r="E7">
        <v>0.34</v>
      </c>
      <c r="F7">
        <v>0.24</v>
      </c>
      <c r="G7">
        <v>0.17</v>
      </c>
      <c r="H7">
        <v>0.12</v>
      </c>
      <c r="I7">
        <v>0.08</v>
      </c>
      <c r="J7">
        <v>0.06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F2" sqref="F2"/>
    </sheetView>
  </sheetViews>
  <sheetFormatPr defaultColWidth="9.140625" defaultRowHeight="12.75"/>
  <cols>
    <col min="1" max="1" width="16.7109375" style="0" bestFit="1" customWidth="1"/>
  </cols>
  <sheetData>
    <row r="1" spans="2:3" ht="12.75">
      <c r="B1" t="s">
        <v>123</v>
      </c>
      <c r="C1" s="3" t="s">
        <v>128</v>
      </c>
    </row>
    <row r="2" spans="3:4" ht="12.75">
      <c r="C2" s="3" t="s">
        <v>129</v>
      </c>
      <c r="D2" t="s">
        <v>130</v>
      </c>
    </row>
    <row r="3" spans="3:6" ht="12.75">
      <c r="C3">
        <v>0</v>
      </c>
      <c r="D3">
        <v>0.5</v>
      </c>
      <c r="E3">
        <v>1</v>
      </c>
      <c r="F3">
        <v>2</v>
      </c>
    </row>
    <row r="4" spans="1:6" ht="12.75">
      <c r="A4" t="s">
        <v>126</v>
      </c>
      <c r="B4">
        <v>0.18</v>
      </c>
      <c r="C4">
        <v>3.55</v>
      </c>
      <c r="D4">
        <v>3.55</v>
      </c>
      <c r="E4">
        <v>3.9</v>
      </c>
      <c r="F4">
        <v>4.85</v>
      </c>
    </row>
    <row r="5" spans="1:6" ht="12.75">
      <c r="A5" t="s">
        <v>127</v>
      </c>
      <c r="B5">
        <v>0.25</v>
      </c>
      <c r="C5">
        <v>2</v>
      </c>
      <c r="D5">
        <v>2</v>
      </c>
      <c r="E5">
        <v>2.3</v>
      </c>
      <c r="F5">
        <v>3.2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Q16" sqref="Q16"/>
    </sheetView>
  </sheetViews>
  <sheetFormatPr defaultColWidth="9.140625" defaultRowHeight="12.75"/>
  <cols>
    <col min="1" max="1" width="3.00390625" style="37" bestFit="1" customWidth="1"/>
    <col min="2" max="2" width="10.421875" style="37" customWidth="1"/>
    <col min="3" max="3" width="8.7109375" style="37" customWidth="1"/>
    <col min="4" max="13" width="6.7109375" style="37" customWidth="1"/>
    <col min="14" max="14" width="13.421875" style="37" customWidth="1"/>
    <col min="15" max="16384" width="10.421875" style="37" customWidth="1"/>
  </cols>
  <sheetData>
    <row r="1" ht="12.75">
      <c r="B1" s="36" t="s">
        <v>301</v>
      </c>
    </row>
    <row r="2" spans="2:16" ht="51" customHeight="1">
      <c r="B2" s="38" t="s">
        <v>324</v>
      </c>
      <c r="C2" s="38" t="s">
        <v>323</v>
      </c>
      <c r="D2" s="38" t="s">
        <v>303</v>
      </c>
      <c r="E2" s="38" t="s">
        <v>231</v>
      </c>
      <c r="F2" s="38" t="s">
        <v>238</v>
      </c>
      <c r="G2" s="38" t="s">
        <v>304</v>
      </c>
      <c r="H2" s="38" t="s">
        <v>305</v>
      </c>
      <c r="I2" s="38" t="s">
        <v>240</v>
      </c>
      <c r="J2" s="38" t="s">
        <v>306</v>
      </c>
      <c r="K2" s="39" t="s">
        <v>233</v>
      </c>
      <c r="L2" s="38" t="s">
        <v>320</v>
      </c>
      <c r="M2" s="40" t="s">
        <v>322</v>
      </c>
      <c r="N2" s="39" t="s">
        <v>321</v>
      </c>
      <c r="P2" s="37" t="s">
        <v>353</v>
      </c>
    </row>
    <row r="3" spans="1:17" ht="12.75" customHeight="1">
      <c r="A3" s="37">
        <v>1</v>
      </c>
      <c r="B3" s="41" t="s">
        <v>331</v>
      </c>
      <c r="C3" s="42">
        <v>14000</v>
      </c>
      <c r="D3" s="41">
        <v>260</v>
      </c>
      <c r="E3" s="41">
        <v>110</v>
      </c>
      <c r="F3" s="41" t="s">
        <v>302</v>
      </c>
      <c r="G3" s="41">
        <v>15</v>
      </c>
      <c r="H3" s="41">
        <v>80</v>
      </c>
      <c r="I3" s="41">
        <v>170</v>
      </c>
      <c r="J3" s="41">
        <v>60</v>
      </c>
      <c r="K3" s="43">
        <v>150</v>
      </c>
      <c r="L3" s="41">
        <v>6</v>
      </c>
      <c r="M3" s="44">
        <v>5</v>
      </c>
      <c r="N3" s="43" t="s">
        <v>308</v>
      </c>
      <c r="P3" s="18">
        <v>250</v>
      </c>
      <c r="Q3" s="37">
        <v>2</v>
      </c>
    </row>
    <row r="4" spans="1:17" ht="12.75" customHeight="1">
      <c r="A4" s="37">
        <v>2</v>
      </c>
      <c r="B4" s="41" t="s">
        <v>332</v>
      </c>
      <c r="C4" s="41">
        <v>14000</v>
      </c>
      <c r="D4" s="41">
        <v>315</v>
      </c>
      <c r="E4" s="41">
        <v>110</v>
      </c>
      <c r="F4" s="41" t="s">
        <v>302</v>
      </c>
      <c r="G4" s="41">
        <v>15</v>
      </c>
      <c r="H4" s="41">
        <v>80</v>
      </c>
      <c r="I4" s="41">
        <v>210</v>
      </c>
      <c r="J4" s="41">
        <v>60</v>
      </c>
      <c r="K4" s="43">
        <v>150</v>
      </c>
      <c r="L4" s="41">
        <v>6</v>
      </c>
      <c r="M4" s="44">
        <v>6</v>
      </c>
      <c r="N4" s="43" t="s">
        <v>309</v>
      </c>
      <c r="P4" s="18">
        <v>280</v>
      </c>
      <c r="Q4" s="37">
        <v>3</v>
      </c>
    </row>
    <row r="5" spans="1:17" ht="12.75" customHeight="1">
      <c r="A5" s="37">
        <v>3</v>
      </c>
      <c r="B5" s="41" t="s">
        <v>325</v>
      </c>
      <c r="C5" s="42">
        <v>25000</v>
      </c>
      <c r="D5" s="41">
        <v>370</v>
      </c>
      <c r="E5" s="41">
        <v>150</v>
      </c>
      <c r="F5" s="41" t="s">
        <v>302</v>
      </c>
      <c r="G5" s="41">
        <v>19</v>
      </c>
      <c r="H5" s="41">
        <v>110</v>
      </c>
      <c r="I5" s="41">
        <v>260</v>
      </c>
      <c r="J5" s="41">
        <v>65</v>
      </c>
      <c r="K5" s="43">
        <v>200</v>
      </c>
      <c r="L5" s="41">
        <v>0.8</v>
      </c>
      <c r="M5" s="44">
        <v>6</v>
      </c>
      <c r="N5" s="43" t="s">
        <v>328</v>
      </c>
      <c r="P5" s="18">
        <v>300</v>
      </c>
      <c r="Q5" s="37">
        <v>3</v>
      </c>
    </row>
    <row r="6" spans="1:17" ht="12.75" customHeight="1">
      <c r="A6" s="37">
        <v>4</v>
      </c>
      <c r="B6" s="41" t="s">
        <v>333</v>
      </c>
      <c r="C6" s="42">
        <v>34000</v>
      </c>
      <c r="D6" s="41">
        <v>470</v>
      </c>
      <c r="E6" s="41">
        <v>200</v>
      </c>
      <c r="F6" s="41" t="s">
        <v>302</v>
      </c>
      <c r="G6" s="41">
        <v>24</v>
      </c>
      <c r="H6" s="41">
        <v>150</v>
      </c>
      <c r="I6" s="41">
        <v>350</v>
      </c>
      <c r="J6" s="41">
        <v>65</v>
      </c>
      <c r="K6" s="43">
        <v>200</v>
      </c>
      <c r="L6" s="41">
        <v>8</v>
      </c>
      <c r="M6" s="44">
        <v>8</v>
      </c>
      <c r="N6" s="43" t="s">
        <v>310</v>
      </c>
      <c r="P6" s="18">
        <v>315</v>
      </c>
      <c r="Q6" s="37">
        <v>3</v>
      </c>
    </row>
    <row r="7" spans="1:17" ht="12.75" customHeight="1">
      <c r="A7" s="37">
        <v>5</v>
      </c>
      <c r="B7" s="41" t="s">
        <v>334</v>
      </c>
      <c r="C7" s="41">
        <v>42000</v>
      </c>
      <c r="D7" s="41">
        <v>575</v>
      </c>
      <c r="E7" s="41">
        <v>200</v>
      </c>
      <c r="F7" s="41" t="s">
        <v>302</v>
      </c>
      <c r="G7" s="41">
        <v>24</v>
      </c>
      <c r="H7" s="41">
        <v>150</v>
      </c>
      <c r="I7" s="41">
        <v>400</v>
      </c>
      <c r="J7" s="41">
        <v>75</v>
      </c>
      <c r="K7" s="43">
        <v>200</v>
      </c>
      <c r="L7" s="41">
        <v>12</v>
      </c>
      <c r="M7" s="44">
        <v>8</v>
      </c>
      <c r="N7" s="43" t="s">
        <v>327</v>
      </c>
      <c r="P7" s="18">
        <v>350</v>
      </c>
      <c r="Q7" s="37">
        <v>4</v>
      </c>
    </row>
    <row r="8" spans="1:17" ht="12.75" customHeight="1">
      <c r="A8" s="37">
        <v>6</v>
      </c>
      <c r="B8" s="41" t="s">
        <v>335</v>
      </c>
      <c r="C8" s="43">
        <v>45000</v>
      </c>
      <c r="D8" s="43">
        <v>680</v>
      </c>
      <c r="E8" s="43">
        <v>250</v>
      </c>
      <c r="F8" s="41" t="s">
        <v>302</v>
      </c>
      <c r="G8" s="43">
        <v>28</v>
      </c>
      <c r="H8" s="43">
        <v>190</v>
      </c>
      <c r="I8" s="43">
        <v>500</v>
      </c>
      <c r="J8" s="43">
        <v>75</v>
      </c>
      <c r="K8" s="43">
        <v>200</v>
      </c>
      <c r="L8" s="41">
        <v>12</v>
      </c>
      <c r="M8" s="45">
        <v>10</v>
      </c>
      <c r="N8" s="43" t="s">
        <v>311</v>
      </c>
      <c r="P8" s="18">
        <v>400</v>
      </c>
      <c r="Q8" s="37">
        <v>5</v>
      </c>
    </row>
    <row r="9" spans="1:17" ht="12.75" customHeight="1">
      <c r="A9" s="37">
        <v>7</v>
      </c>
      <c r="B9" s="41" t="s">
        <v>336</v>
      </c>
      <c r="C9" s="42">
        <v>55000</v>
      </c>
      <c r="D9" s="41">
        <v>830</v>
      </c>
      <c r="E9" s="41">
        <v>300</v>
      </c>
      <c r="F9" s="41" t="s">
        <v>302</v>
      </c>
      <c r="G9" s="41">
        <v>28</v>
      </c>
      <c r="H9" s="41">
        <v>240</v>
      </c>
      <c r="I9" s="41">
        <v>630</v>
      </c>
      <c r="J9" s="41">
        <v>105</v>
      </c>
      <c r="K9" s="43">
        <v>250</v>
      </c>
      <c r="L9" s="41">
        <v>14</v>
      </c>
      <c r="M9" s="44">
        <v>10</v>
      </c>
      <c r="N9" s="43" t="s">
        <v>312</v>
      </c>
      <c r="P9" s="18">
        <v>450</v>
      </c>
      <c r="Q9" s="37">
        <v>5</v>
      </c>
    </row>
    <row r="10" spans="1:17" ht="12.75" customHeight="1">
      <c r="A10" s="37">
        <v>8</v>
      </c>
      <c r="B10" s="41" t="s">
        <v>337</v>
      </c>
      <c r="C10" s="42">
        <v>55000</v>
      </c>
      <c r="D10" s="41">
        <v>975</v>
      </c>
      <c r="E10" s="41">
        <v>300</v>
      </c>
      <c r="F10" s="41" t="s">
        <v>302</v>
      </c>
      <c r="G10" s="41">
        <v>28</v>
      </c>
      <c r="H10" s="41">
        <v>240</v>
      </c>
      <c r="I10" s="41">
        <v>800</v>
      </c>
      <c r="J10" s="41">
        <v>105</v>
      </c>
      <c r="K10" s="43">
        <v>250</v>
      </c>
      <c r="L10" s="41">
        <v>14</v>
      </c>
      <c r="M10" s="44">
        <v>12</v>
      </c>
      <c r="N10" s="43" t="s">
        <v>313</v>
      </c>
      <c r="P10" s="18">
        <v>500</v>
      </c>
      <c r="Q10" s="37">
        <v>6</v>
      </c>
    </row>
    <row r="11" spans="1:17" ht="12.75" customHeight="1">
      <c r="A11" s="37">
        <v>9</v>
      </c>
      <c r="B11" s="41" t="s">
        <v>338</v>
      </c>
      <c r="C11" s="42">
        <v>55000</v>
      </c>
      <c r="D11" s="41">
        <v>1130</v>
      </c>
      <c r="E11" s="41">
        <v>350</v>
      </c>
      <c r="F11" s="41" t="s">
        <v>302</v>
      </c>
      <c r="G11" s="41">
        <v>28</v>
      </c>
      <c r="H11" s="41">
        <v>290</v>
      </c>
      <c r="I11" s="41">
        <v>900</v>
      </c>
      <c r="J11" s="41">
        <v>105</v>
      </c>
      <c r="K11" s="43">
        <v>250</v>
      </c>
      <c r="L11" s="41">
        <v>14</v>
      </c>
      <c r="M11" s="44">
        <v>12</v>
      </c>
      <c r="N11" s="51" t="s">
        <v>330</v>
      </c>
      <c r="P11" s="18">
        <v>550</v>
      </c>
      <c r="Q11" s="37">
        <v>6</v>
      </c>
    </row>
    <row r="12" spans="1:17" ht="12.75" customHeight="1">
      <c r="A12" s="37">
        <v>10</v>
      </c>
      <c r="B12" s="41" t="s">
        <v>339</v>
      </c>
      <c r="C12" s="42">
        <v>55000</v>
      </c>
      <c r="D12" s="41">
        <v>1240</v>
      </c>
      <c r="E12" s="41">
        <v>350</v>
      </c>
      <c r="F12" s="41" t="s">
        <v>302</v>
      </c>
      <c r="G12" s="41">
        <v>28</v>
      </c>
      <c r="H12" s="41">
        <v>290</v>
      </c>
      <c r="I12" s="41">
        <v>1000</v>
      </c>
      <c r="J12" s="41">
        <v>105</v>
      </c>
      <c r="K12" s="43">
        <v>250</v>
      </c>
      <c r="L12" s="41">
        <v>14</v>
      </c>
      <c r="M12" s="44">
        <v>12</v>
      </c>
      <c r="N12" s="43" t="s">
        <v>314</v>
      </c>
      <c r="P12" s="18">
        <v>600</v>
      </c>
      <c r="Q12" s="37">
        <v>7</v>
      </c>
    </row>
    <row r="13" spans="1:17" ht="12.75" customHeight="1">
      <c r="A13" s="37">
        <v>11</v>
      </c>
      <c r="B13" s="41" t="s">
        <v>340</v>
      </c>
      <c r="C13" s="42">
        <v>60000</v>
      </c>
      <c r="D13" s="41">
        <v>1330</v>
      </c>
      <c r="E13" s="41">
        <v>350</v>
      </c>
      <c r="F13" s="41">
        <v>400</v>
      </c>
      <c r="G13" s="41">
        <v>32</v>
      </c>
      <c r="H13" s="41">
        <v>290</v>
      </c>
      <c r="I13" s="41">
        <v>1100</v>
      </c>
      <c r="J13" s="41">
        <v>105</v>
      </c>
      <c r="K13" s="43">
        <v>300</v>
      </c>
      <c r="L13" s="41">
        <v>14</v>
      </c>
      <c r="M13" s="44">
        <v>10</v>
      </c>
      <c r="N13" s="43" t="s">
        <v>315</v>
      </c>
      <c r="P13" s="18">
        <v>650</v>
      </c>
      <c r="Q13" s="37">
        <v>7</v>
      </c>
    </row>
    <row r="14" spans="1:17" ht="12.75" customHeight="1">
      <c r="A14" s="37">
        <v>12</v>
      </c>
      <c r="B14" s="41" t="s">
        <v>341</v>
      </c>
      <c r="C14" s="42">
        <v>60000</v>
      </c>
      <c r="D14" s="41">
        <v>1480</v>
      </c>
      <c r="E14" s="41">
        <v>350</v>
      </c>
      <c r="F14" s="41">
        <v>400</v>
      </c>
      <c r="G14" s="41">
        <v>32</v>
      </c>
      <c r="H14" s="41">
        <v>290</v>
      </c>
      <c r="I14" s="41">
        <v>1300</v>
      </c>
      <c r="J14" s="41">
        <v>130</v>
      </c>
      <c r="K14" s="43">
        <v>300</v>
      </c>
      <c r="L14" s="41">
        <v>14</v>
      </c>
      <c r="M14" s="44">
        <v>10</v>
      </c>
      <c r="N14" s="43" t="s">
        <v>316</v>
      </c>
      <c r="P14" s="18">
        <v>700</v>
      </c>
      <c r="Q14" s="37">
        <v>8</v>
      </c>
    </row>
    <row r="15" spans="1:17" ht="12.75" customHeight="1">
      <c r="A15" s="37">
        <v>13</v>
      </c>
      <c r="B15" s="41" t="s">
        <v>342</v>
      </c>
      <c r="C15" s="42">
        <v>70000</v>
      </c>
      <c r="D15" s="41">
        <v>1630</v>
      </c>
      <c r="E15" s="41">
        <v>350</v>
      </c>
      <c r="F15" s="41">
        <v>500</v>
      </c>
      <c r="G15" s="41">
        <v>32</v>
      </c>
      <c r="H15" s="41">
        <v>290</v>
      </c>
      <c r="I15" s="41">
        <v>1400</v>
      </c>
      <c r="J15" s="41">
        <v>130</v>
      </c>
      <c r="K15" s="43">
        <v>350</v>
      </c>
      <c r="L15" s="41">
        <v>14</v>
      </c>
      <c r="M15" s="44">
        <v>10</v>
      </c>
      <c r="N15" s="43" t="s">
        <v>329</v>
      </c>
      <c r="P15" s="18">
        <v>750</v>
      </c>
      <c r="Q15" s="37">
        <v>8</v>
      </c>
    </row>
    <row r="16" spans="1:14" ht="12.75" customHeight="1">
      <c r="A16" s="37">
        <v>14</v>
      </c>
      <c r="B16" s="41" t="s">
        <v>343</v>
      </c>
      <c r="C16" s="46">
        <v>75000</v>
      </c>
      <c r="D16" s="43">
        <v>1790</v>
      </c>
      <c r="E16" s="43">
        <v>350</v>
      </c>
      <c r="F16" s="43">
        <v>500</v>
      </c>
      <c r="G16" s="41">
        <v>32</v>
      </c>
      <c r="H16" s="41">
        <v>290</v>
      </c>
      <c r="I16" s="41">
        <v>1600</v>
      </c>
      <c r="J16" s="41">
        <v>135</v>
      </c>
      <c r="K16" s="43">
        <v>350</v>
      </c>
      <c r="L16" s="41">
        <v>16</v>
      </c>
      <c r="M16" s="44">
        <v>12</v>
      </c>
      <c r="N16" s="43" t="s">
        <v>317</v>
      </c>
    </row>
    <row r="17" spans="1:14" ht="12.75" customHeight="1">
      <c r="A17" s="37">
        <v>15</v>
      </c>
      <c r="B17" s="41" t="s">
        <v>344</v>
      </c>
      <c r="C17" s="42">
        <v>75000</v>
      </c>
      <c r="D17" s="41">
        <v>1940</v>
      </c>
      <c r="E17" s="41">
        <v>400</v>
      </c>
      <c r="F17" s="41">
        <v>600</v>
      </c>
      <c r="G17" s="41">
        <v>35</v>
      </c>
      <c r="H17" s="41">
        <v>330</v>
      </c>
      <c r="I17" s="41">
        <v>1700</v>
      </c>
      <c r="J17" s="41">
        <v>135</v>
      </c>
      <c r="K17" s="43">
        <v>350</v>
      </c>
      <c r="L17" s="41">
        <v>16</v>
      </c>
      <c r="M17" s="44">
        <v>12</v>
      </c>
      <c r="N17" s="43" t="s">
        <v>318</v>
      </c>
    </row>
    <row r="18" spans="1:14" ht="12.75" customHeight="1">
      <c r="A18" s="37">
        <v>16</v>
      </c>
      <c r="B18" s="41" t="s">
        <v>345</v>
      </c>
      <c r="C18" s="42">
        <v>75000</v>
      </c>
      <c r="D18" s="41">
        <v>2140</v>
      </c>
      <c r="E18" s="41">
        <v>400</v>
      </c>
      <c r="F18" s="41">
        <v>600</v>
      </c>
      <c r="G18" s="41">
        <v>35</v>
      </c>
      <c r="H18" s="41">
        <v>330</v>
      </c>
      <c r="I18" s="41">
        <v>1850</v>
      </c>
      <c r="J18" s="41">
        <v>135</v>
      </c>
      <c r="K18" s="43">
        <v>350</v>
      </c>
      <c r="L18" s="41">
        <v>16</v>
      </c>
      <c r="M18" s="44">
        <v>12</v>
      </c>
      <c r="N18" s="43" t="s">
        <v>326</v>
      </c>
    </row>
    <row r="19" spans="1:14" ht="12.75" customHeight="1" thickBot="1">
      <c r="A19" s="37">
        <v>17</v>
      </c>
      <c r="B19" s="47" t="s">
        <v>346</v>
      </c>
      <c r="C19" s="48">
        <v>75000</v>
      </c>
      <c r="D19" s="47">
        <v>2340</v>
      </c>
      <c r="E19" s="47">
        <v>400</v>
      </c>
      <c r="F19" s="47">
        <v>600</v>
      </c>
      <c r="G19" s="47">
        <v>35</v>
      </c>
      <c r="H19" s="47">
        <v>330</v>
      </c>
      <c r="I19" s="47">
        <v>2100</v>
      </c>
      <c r="J19" s="47">
        <v>135</v>
      </c>
      <c r="K19" s="49">
        <v>350</v>
      </c>
      <c r="L19" s="47">
        <v>16</v>
      </c>
      <c r="M19" s="50">
        <v>12</v>
      </c>
      <c r="N19" s="49" t="s">
        <v>319</v>
      </c>
    </row>
    <row r="20" ht="12.75">
      <c r="B20" s="36"/>
    </row>
    <row r="21" ht="12.75">
      <c r="B21" s="3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9" sqref="E9"/>
    </sheetView>
  </sheetViews>
  <sheetFormatPr defaultColWidth="9.140625" defaultRowHeight="12.75"/>
  <sheetData>
    <row r="1" spans="2:5" ht="12.75">
      <c r="B1" t="s">
        <v>394</v>
      </c>
      <c r="C1" t="s">
        <v>236</v>
      </c>
      <c r="D1" t="s">
        <v>304</v>
      </c>
      <c r="E1" t="s">
        <v>244</v>
      </c>
    </row>
    <row r="2" spans="1:5" ht="12.75">
      <c r="A2" t="s">
        <v>245</v>
      </c>
      <c r="B2">
        <v>1.5</v>
      </c>
      <c r="C2">
        <v>8.16</v>
      </c>
      <c r="D2">
        <v>10</v>
      </c>
      <c r="E2">
        <v>9.026</v>
      </c>
    </row>
    <row r="3" spans="1:5" ht="12.75">
      <c r="A3" t="s">
        <v>246</v>
      </c>
      <c r="B3">
        <v>1.75</v>
      </c>
      <c r="C3">
        <v>9.853</v>
      </c>
      <c r="D3">
        <v>12</v>
      </c>
      <c r="E3">
        <v>10.863</v>
      </c>
    </row>
    <row r="4" spans="1:5" ht="12.75">
      <c r="A4" t="s">
        <v>247</v>
      </c>
      <c r="B4">
        <v>2</v>
      </c>
      <c r="C4">
        <v>13.546</v>
      </c>
      <c r="D4">
        <v>16</v>
      </c>
      <c r="E4">
        <v>14.701</v>
      </c>
    </row>
    <row r="5" spans="1:5" ht="12.75">
      <c r="A5" t="s">
        <v>248</v>
      </c>
      <c r="B5">
        <v>2.5</v>
      </c>
      <c r="C5">
        <v>16.933</v>
      </c>
      <c r="D5">
        <v>20</v>
      </c>
      <c r="E5">
        <v>18.376</v>
      </c>
    </row>
    <row r="6" spans="1:5" ht="12.75">
      <c r="A6" t="s">
        <v>283</v>
      </c>
      <c r="B6">
        <v>3</v>
      </c>
      <c r="C6">
        <v>20.319</v>
      </c>
      <c r="D6">
        <v>24</v>
      </c>
      <c r="E6">
        <v>22.051</v>
      </c>
    </row>
    <row r="7" spans="1:5" ht="12.75">
      <c r="A7" t="s">
        <v>360</v>
      </c>
      <c r="B7">
        <v>3</v>
      </c>
      <c r="C7">
        <v>23.319</v>
      </c>
      <c r="D7">
        <v>27</v>
      </c>
      <c r="E7">
        <v>25.051</v>
      </c>
    </row>
    <row r="8" spans="1:5" ht="12.75">
      <c r="A8" t="s">
        <v>284</v>
      </c>
      <c r="B8">
        <v>3.5</v>
      </c>
      <c r="C8">
        <v>25.706</v>
      </c>
      <c r="D8">
        <v>30</v>
      </c>
      <c r="E8">
        <v>27.727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5"/>
  <sheetViews>
    <sheetView tabSelected="1" workbookViewId="0" topLeftCell="A112">
      <selection activeCell="F15" sqref="F15"/>
    </sheetView>
  </sheetViews>
  <sheetFormatPr defaultColWidth="9.140625" defaultRowHeight="12.75"/>
  <cols>
    <col min="1" max="1" width="5.7109375" style="0" bestFit="1" customWidth="1"/>
    <col min="2" max="2" width="23.00390625" style="0" customWidth="1"/>
    <col min="3" max="3" width="12.57421875" style="0" bestFit="1" customWidth="1"/>
    <col min="7" max="7" width="10.28125" style="0" bestFit="1" customWidth="1"/>
    <col min="9" max="9" width="10.28125" style="0" bestFit="1" customWidth="1"/>
  </cols>
  <sheetData>
    <row r="1" spans="2:12" ht="12.75">
      <c r="B1" s="2" t="s">
        <v>0</v>
      </c>
      <c r="I1" t="s">
        <v>358</v>
      </c>
      <c r="J1" t="s">
        <v>359</v>
      </c>
      <c r="K1" t="s">
        <v>373</v>
      </c>
      <c r="L1" t="s">
        <v>408</v>
      </c>
    </row>
    <row r="2" spans="2:12" ht="14.25">
      <c r="B2" t="s">
        <v>1</v>
      </c>
      <c r="F2" t="s">
        <v>5</v>
      </c>
      <c r="G2" s="1">
        <v>3.15</v>
      </c>
      <c r="H2" t="s">
        <v>9</v>
      </c>
      <c r="I2">
        <v>1.6</v>
      </c>
      <c r="J2">
        <v>5</v>
      </c>
      <c r="K2">
        <v>4</v>
      </c>
      <c r="L2">
        <v>3.15</v>
      </c>
    </row>
    <row r="3" spans="2:12" ht="15.75">
      <c r="B3" t="s">
        <v>2</v>
      </c>
      <c r="F3" t="s">
        <v>6</v>
      </c>
      <c r="G3" s="1">
        <v>1.2</v>
      </c>
      <c r="H3" t="s">
        <v>11</v>
      </c>
      <c r="I3">
        <v>0.5</v>
      </c>
      <c r="J3">
        <v>0.7</v>
      </c>
      <c r="K3">
        <v>0.6</v>
      </c>
      <c r="L3">
        <v>1.2</v>
      </c>
    </row>
    <row r="4" spans="2:12" ht="15.75">
      <c r="B4" t="s">
        <v>3</v>
      </c>
      <c r="F4" t="s">
        <v>7</v>
      </c>
      <c r="G4" s="1">
        <v>350</v>
      </c>
      <c r="H4" t="s">
        <v>10</v>
      </c>
      <c r="I4">
        <v>200</v>
      </c>
      <c r="J4">
        <v>450</v>
      </c>
      <c r="K4">
        <v>400</v>
      </c>
      <c r="L4">
        <v>350</v>
      </c>
    </row>
    <row r="5" spans="2:12" ht="15.75">
      <c r="B5" t="s">
        <v>4</v>
      </c>
      <c r="F5" t="s">
        <v>8</v>
      </c>
      <c r="G5" s="1">
        <v>90</v>
      </c>
      <c r="H5" t="s">
        <v>10</v>
      </c>
      <c r="I5">
        <v>60</v>
      </c>
      <c r="J5">
        <v>150</v>
      </c>
      <c r="K5">
        <v>100</v>
      </c>
      <c r="L5">
        <v>90</v>
      </c>
    </row>
    <row r="7" spans="1:2" s="2" customFormat="1" ht="12.75" customHeight="1">
      <c r="A7" s="2" t="s">
        <v>15</v>
      </c>
      <c r="B7" s="21" t="s">
        <v>14</v>
      </c>
    </row>
    <row r="8" spans="1:2" ht="15.75">
      <c r="A8" t="s">
        <v>16</v>
      </c>
      <c r="B8" s="5" t="s">
        <v>19</v>
      </c>
    </row>
    <row r="9" spans="2:4" ht="15.75">
      <c r="B9" t="s">
        <v>95</v>
      </c>
      <c r="C9">
        <f>G3/0.9</f>
        <v>1.3333333333333333</v>
      </c>
      <c r="D9" t="s">
        <v>11</v>
      </c>
    </row>
    <row r="10" spans="1:2" ht="15.75">
      <c r="A10" t="s">
        <v>17</v>
      </c>
      <c r="B10" s="5" t="s">
        <v>20</v>
      </c>
    </row>
    <row r="11" spans="2:7" ht="15.75">
      <c r="B11" t="s">
        <v>12</v>
      </c>
      <c r="C11">
        <f>C9</f>
        <v>1.3333333333333333</v>
      </c>
      <c r="D11" t="s">
        <v>11</v>
      </c>
      <c r="F11" s="3"/>
      <c r="G11" s="4"/>
    </row>
    <row r="12" spans="2:7" ht="15.75">
      <c r="B12" t="s">
        <v>203</v>
      </c>
      <c r="C12">
        <v>1</v>
      </c>
      <c r="D12" t="s">
        <v>204</v>
      </c>
      <c r="F12" s="3"/>
      <c r="G12" s="4"/>
    </row>
    <row r="13" spans="2:7" ht="15.75">
      <c r="B13" t="s">
        <v>103</v>
      </c>
      <c r="C13">
        <f>IF(C11&lt;=0.4,C11+0.1,1.25*C9*C12)</f>
        <v>1.6666666666666665</v>
      </c>
      <c r="D13" t="s">
        <v>11</v>
      </c>
      <c r="F13" s="3"/>
      <c r="G13" s="4"/>
    </row>
    <row r="14" ht="12.75">
      <c r="E14" s="3"/>
    </row>
    <row r="15" spans="1:2" ht="12.75">
      <c r="A15" t="s">
        <v>18</v>
      </c>
      <c r="B15" s="5" t="s">
        <v>21</v>
      </c>
    </row>
    <row r="16" spans="2:3" ht="15.75">
      <c r="B16" t="s">
        <v>36</v>
      </c>
      <c r="C16">
        <v>2</v>
      </c>
    </row>
    <row r="17" spans="2:8" ht="12.75">
      <c r="B17" t="s">
        <v>22</v>
      </c>
      <c r="C17">
        <f>POWER((2*G2)/PI(),1/3)</f>
        <v>1.2610439577969121</v>
      </c>
      <c r="D17" t="s">
        <v>23</v>
      </c>
      <c r="E17" t="s">
        <v>24</v>
      </c>
      <c r="F17" t="s">
        <v>25</v>
      </c>
      <c r="G17" s="20">
        <f>VLOOKUP(ROUND(C17,1)*1000,'1. táblázat'!A7:A19,1)</f>
        <v>1300</v>
      </c>
      <c r="H17" t="s">
        <v>32</v>
      </c>
    </row>
    <row r="18" spans="6:8" ht="12.75">
      <c r="F18" t="s">
        <v>27</v>
      </c>
      <c r="G18">
        <f>VLOOKUP(G17,'1. táblázat'!A7:D19,2,FALSE)</f>
        <v>325</v>
      </c>
      <c r="H18" t="s">
        <v>32</v>
      </c>
    </row>
    <row r="19" spans="6:8" ht="12.75">
      <c r="F19" t="s">
        <v>28</v>
      </c>
      <c r="G19">
        <f>VLOOKUP(G17,'1. táblázat'!A7:D19,3,FALSE)</f>
        <v>1170</v>
      </c>
      <c r="H19" t="s">
        <v>32</v>
      </c>
    </row>
    <row r="20" spans="6:8" ht="12.75">
      <c r="F20" t="s">
        <v>29</v>
      </c>
      <c r="G20">
        <f>VLOOKUP(G17,'1. táblázat'!A7:D19,4,FALSE)</f>
        <v>227</v>
      </c>
      <c r="H20" t="s">
        <v>32</v>
      </c>
    </row>
    <row r="21" spans="6:8" ht="12.75">
      <c r="F21" t="s">
        <v>26</v>
      </c>
      <c r="G21" s="20">
        <f>F80</f>
        <v>12</v>
      </c>
      <c r="H21" t="s">
        <v>32</v>
      </c>
    </row>
    <row r="22" spans="6:8" ht="15.75">
      <c r="F22" t="s">
        <v>37</v>
      </c>
      <c r="G22">
        <f>HLOOKUP(G21,'1. táblázat'!E2:K4,3,FALSE)</f>
        <v>65</v>
      </c>
      <c r="H22" t="s">
        <v>32</v>
      </c>
    </row>
    <row r="23" spans="6:8" ht="12.75">
      <c r="F23" t="s">
        <v>30</v>
      </c>
      <c r="G23">
        <f>VLOOKUP(G17,'1. táblázat'!A7:K19,HLOOKUP(G21,'1. táblázat'!E2:K3,2),FALSE)</f>
        <v>211</v>
      </c>
      <c r="H23" t="s">
        <v>33</v>
      </c>
    </row>
    <row r="24" spans="6:8" ht="14.25">
      <c r="F24" t="s">
        <v>31</v>
      </c>
      <c r="G24">
        <f>VLOOKUP(G17,'1. táblázat'!A7:L19,12,FALSE)</f>
        <v>269</v>
      </c>
      <c r="H24" t="s">
        <v>34</v>
      </c>
    </row>
    <row r="25" spans="2:4" ht="15.75">
      <c r="B25" t="s">
        <v>35</v>
      </c>
      <c r="C25">
        <f>(G2-2*(G24/1000))*4/(POWER(G17/1000,2)*PI())</f>
        <v>1.9678708229871273</v>
      </c>
      <c r="D25" t="s">
        <v>23</v>
      </c>
    </row>
    <row r="26" spans="2:5" ht="15.75">
      <c r="B26" t="s">
        <v>38</v>
      </c>
      <c r="C26">
        <f>POWER(G17/1000-2*G21/1000,2)*PI()/4*(C25+2*G22/1000)+2*G24/1000+C112+C115+C126+C136+C199</f>
        <v>3.25018486180947</v>
      </c>
      <c r="D26" t="s">
        <v>9</v>
      </c>
      <c r="E26" s="6"/>
    </row>
    <row r="28" spans="1:2" ht="12.75">
      <c r="A28" t="s">
        <v>39</v>
      </c>
      <c r="B28" s="5" t="s">
        <v>40</v>
      </c>
    </row>
    <row r="29" spans="2:4" ht="12.75">
      <c r="B29" t="s">
        <v>96</v>
      </c>
      <c r="C29" t="str">
        <f>VLOOKUP(D29,'2. táblázat'!A3:B6,2)</f>
        <v>P235 GH</v>
      </c>
      <c r="D29" s="1">
        <v>1</v>
      </c>
    </row>
    <row r="30" spans="2:4" ht="15.75">
      <c r="B30" t="s">
        <v>97</v>
      </c>
      <c r="C30">
        <f>VLOOKUP(D29,'2. táblázat'!A3:G6,4)</f>
        <v>225</v>
      </c>
      <c r="D30" t="s">
        <v>13</v>
      </c>
    </row>
    <row r="31" spans="2:4" ht="15.75">
      <c r="B31" t="s">
        <v>98</v>
      </c>
      <c r="C31">
        <f>IF(VALUE(LEFT(VLOOKUP(D29,'2. táblázat'!A3:G6,3),3))&lt;VALUE(RIGHT(VLOOKUP(D29,'2. táblázat'!A3:G6,3),3)),VALUE(LEFT(VLOOKUP(D29,'2. táblázat'!A3:G6,3),3)),VALUE(RIGHT(VLOOKUP(D29,'2. táblázat'!A3:G6,3),3)))</f>
        <v>360</v>
      </c>
      <c r="D31" t="s">
        <v>13</v>
      </c>
    </row>
    <row r="32" ht="12.75" customHeight="1">
      <c r="B32" s="5" t="s">
        <v>101</v>
      </c>
    </row>
    <row r="33" spans="2:3" ht="12.75" customHeight="1">
      <c r="B33" s="5" t="s">
        <v>102</v>
      </c>
      <c r="C33">
        <v>1.11</v>
      </c>
    </row>
    <row r="34" spans="2:3" ht="15.75">
      <c r="B34" t="s">
        <v>99</v>
      </c>
      <c r="C34">
        <v>1.5</v>
      </c>
    </row>
    <row r="35" spans="2:3" ht="15.75">
      <c r="B35" t="s">
        <v>100</v>
      </c>
      <c r="C35">
        <v>2.2</v>
      </c>
    </row>
    <row r="36" spans="2:3" ht="15.75">
      <c r="B36" s="3" t="s">
        <v>109</v>
      </c>
      <c r="C36">
        <f>C30/C34</f>
        <v>150</v>
      </c>
    </row>
    <row r="37" spans="2:3" ht="15.75">
      <c r="B37" s="3" t="s">
        <v>110</v>
      </c>
      <c r="C37">
        <f>C31/C35</f>
        <v>163.63636363636363</v>
      </c>
    </row>
    <row r="38" spans="2:3" ht="15.75">
      <c r="B38" s="3" t="s">
        <v>108</v>
      </c>
      <c r="C38">
        <f>C30/C33</f>
        <v>202.70270270270268</v>
      </c>
    </row>
    <row r="40" spans="1:2" ht="12.75">
      <c r="A40" t="s">
        <v>64</v>
      </c>
      <c r="B40" s="5" t="s">
        <v>66</v>
      </c>
    </row>
    <row r="41" spans="2:5" ht="15.75">
      <c r="B41" s="22" t="s">
        <v>205</v>
      </c>
      <c r="C41">
        <f>C11*10</f>
        <v>13.333333333333332</v>
      </c>
      <c r="D41" t="s">
        <v>361</v>
      </c>
      <c r="E41" t="str">
        <f>IF(C41&lt;6,"6 bar-os szerelvények kellenek",IF(C41&lt;10,"10 bar-os szerelvények kellenek","16 bar-os szerelvények kellenek"))</f>
        <v>16 bar-os szerelvények kellenek</v>
      </c>
    </row>
    <row r="42" spans="2:3" ht="12.75">
      <c r="B42" t="s">
        <v>107</v>
      </c>
      <c r="C42">
        <v>5</v>
      </c>
    </row>
    <row r="43" spans="2:3" ht="12.75">
      <c r="B43" t="s">
        <v>104</v>
      </c>
      <c r="C43">
        <v>2</v>
      </c>
    </row>
    <row r="44" spans="2:3" ht="12.75">
      <c r="B44" t="s">
        <v>105</v>
      </c>
      <c r="C44">
        <v>0</v>
      </c>
    </row>
    <row r="45" spans="2:3" ht="12.75">
      <c r="B45" t="s">
        <v>106</v>
      </c>
      <c r="C45">
        <v>0</v>
      </c>
    </row>
    <row r="46" spans="2:5" ht="15.75">
      <c r="B46" s="22" t="s">
        <v>94</v>
      </c>
      <c r="C46">
        <f>C26*C41*C42*(C43+C44+C45)</f>
        <v>433.3579815745959</v>
      </c>
      <c r="D46" s="18" t="s">
        <v>24</v>
      </c>
      <c r="E46" t="str">
        <f>IF(AND(4&lt;C46,C46&lt;100)=TRUE,"kisveszélyességü osztály",IF(AND(100&lt;C46,C46&lt;10000)=TRUE,"középveszélyességü osztály",IF(C46&gt;10000,"nagyveszélyességü osztály",0)))</f>
        <v>középveszélyességü osztály</v>
      </c>
    </row>
    <row r="47" ht="12.75">
      <c r="B47" s="22"/>
    </row>
    <row r="48" spans="1:2" ht="12.75">
      <c r="A48" t="s">
        <v>65</v>
      </c>
      <c r="B48" s="5" t="s">
        <v>93</v>
      </c>
    </row>
    <row r="49" spans="2:3" ht="12.75">
      <c r="B49" s="22" t="s">
        <v>111</v>
      </c>
      <c r="C49">
        <f>IF(E46="kisveszélyességü osztály",0.6,IF(E46="középveszélyességü osztály",0.7,0.8))</f>
        <v>0.7</v>
      </c>
    </row>
    <row r="50" spans="2:7" ht="15.75">
      <c r="B50" s="22" t="s">
        <v>207</v>
      </c>
      <c r="C50" s="53">
        <f>ROUND(IF(VALUE(RIGHT(F110,LEN(F110)-3))&lt;VALUE(RIGHT(F134,LEN(F134)-3)),VALUE(RIGHT(F110,LEN(F110)-3))/G17,VALUE(RIGHT(F134,LEN(F134)-3))/G17),4)</f>
        <v>0.0615</v>
      </c>
      <c r="E50" s="57"/>
      <c r="F50" s="32"/>
      <c r="G50" s="32"/>
    </row>
    <row r="51" spans="2:4" ht="15.75">
      <c r="B51" s="22" t="s">
        <v>355</v>
      </c>
      <c r="C51">
        <f>HLOOKUP(ROUNDDOWN(C50,1),vk!B2:H3,2,FALSE)-(HLOOKUP(ROUNDDOWN(C50,1),vk!B2:H3,2,FALSE)-HLOOKUP(ROUNDUP(C50,1),vk!B2:H3,2,FALSE))/0.1*C50</f>
        <v>0.877</v>
      </c>
      <c r="D51" t="str">
        <f>IF(C49&lt;C51,"mivel v &lt; vk ezért v-vel számolunk","mivel v &gt; vk ezért vk-val számolunk")</f>
        <v>mivel v &lt; vk ezért v-vel számolunk</v>
      </c>
    </row>
    <row r="52" s="32" customFormat="1" ht="12.75">
      <c r="B52" s="33"/>
    </row>
    <row r="53" spans="1:2" ht="12.75">
      <c r="A53" s="2" t="s">
        <v>67</v>
      </c>
      <c r="B53" s="21" t="s">
        <v>68</v>
      </c>
    </row>
    <row r="54" spans="1:2" ht="12.75">
      <c r="A54" t="s">
        <v>69</v>
      </c>
      <c r="B54" s="5" t="s">
        <v>70</v>
      </c>
    </row>
    <row r="55" spans="2:6" ht="12.75">
      <c r="B55" s="22" t="s">
        <v>111</v>
      </c>
      <c r="C55" s="55">
        <v>0.7</v>
      </c>
      <c r="D55" s="54" t="str">
        <f>CONCATENATE("&lt;= be kell írni kézzel: ",IF(C51&lt;C49,C51,C49))</f>
        <v>&lt;= be kell írni kézzel: 0,7</v>
      </c>
      <c r="E55" s="32"/>
      <c r="F55" s="32"/>
    </row>
    <row r="56" spans="2:4" ht="15.75">
      <c r="B56" s="22" t="s">
        <v>202</v>
      </c>
      <c r="C56">
        <f>G17*C9/(2*C36*C55+C9)</f>
        <v>8.201892744479494</v>
      </c>
      <c r="D56" t="s">
        <v>32</v>
      </c>
    </row>
    <row r="57" spans="2:4" ht="15.75">
      <c r="B57" s="22" t="s">
        <v>114</v>
      </c>
      <c r="C57">
        <v>1</v>
      </c>
      <c r="D57" t="s">
        <v>32</v>
      </c>
    </row>
    <row r="58" spans="2:4" ht="15.75">
      <c r="B58" s="22" t="s">
        <v>115</v>
      </c>
      <c r="C58">
        <f>IF(C56&lt;30,1,0)</f>
        <v>1</v>
      </c>
      <c r="D58" t="s">
        <v>32</v>
      </c>
    </row>
    <row r="59" spans="2:4" ht="15.75">
      <c r="B59" s="22" t="s">
        <v>113</v>
      </c>
      <c r="C59">
        <f>SUM(C57:C58)</f>
        <v>2</v>
      </c>
      <c r="D59" t="s">
        <v>32</v>
      </c>
    </row>
    <row r="60" spans="2:7" ht="12.75">
      <c r="B60" s="22" t="s">
        <v>112</v>
      </c>
      <c r="C60">
        <f>C56+C59</f>
        <v>10.201892744479494</v>
      </c>
      <c r="D60" t="s">
        <v>32</v>
      </c>
      <c r="E60" t="s">
        <v>116</v>
      </c>
      <c r="F60">
        <f>IF(ROUNDUP(C60,0)&lt;4,4,IF(ROUNDUP(C60,0)=9,10,IF(ROUNDUP(C60,0)=11,12,IF(ROUNDUP(C60,0)=13,14,IF(ROUNDUP(C60,0)=15,16,IF(ROUNDUP(C60,0)=17,18,IF(ROUNDUP(C60,0)=19,20,ROUNDUP(C60,0))))))))</f>
        <v>12</v>
      </c>
      <c r="G60" t="s">
        <v>32</v>
      </c>
    </row>
    <row r="62" spans="1:2" ht="12.75">
      <c r="A62" t="s">
        <v>71</v>
      </c>
      <c r="B62" s="5" t="s">
        <v>72</v>
      </c>
    </row>
    <row r="63" spans="2:3" ht="15.75">
      <c r="B63" s="3" t="s">
        <v>117</v>
      </c>
      <c r="C63">
        <f>C13*(G17-(F60-C59))/(2*(F60-C59)*C55)</f>
        <v>153.57142857142858</v>
      </c>
    </row>
    <row r="64" spans="2:5" ht="15.75">
      <c r="B64" s="3" t="s">
        <v>119</v>
      </c>
      <c r="C64" s="18" t="str">
        <f>IF(C63&lt;C38,"&lt;","&gt;")</f>
        <v>&lt;</v>
      </c>
      <c r="D64" t="s">
        <v>118</v>
      </c>
      <c r="E64" t="str">
        <f>IF(C64="&lt;","tehát a tartály próbanyomásra megfelel.","Felrobban vaze!!!")</f>
        <v>tehát a tartály próbanyomásra megfelel.</v>
      </c>
    </row>
    <row r="65" ht="12.75">
      <c r="B65" s="22"/>
    </row>
    <row r="66" ht="12.75">
      <c r="B66" s="22"/>
    </row>
    <row r="67" spans="1:2" ht="12.75">
      <c r="A67" s="2" t="s">
        <v>73</v>
      </c>
      <c r="B67" s="21" t="s">
        <v>74</v>
      </c>
    </row>
    <row r="68" spans="1:2" ht="12.75">
      <c r="A68" s="2"/>
      <c r="B68" s="22" t="s">
        <v>122</v>
      </c>
    </row>
    <row r="69" spans="1:2" ht="12.75">
      <c r="A69" t="s">
        <v>75</v>
      </c>
      <c r="B69" s="5" t="s">
        <v>76</v>
      </c>
    </row>
    <row r="70" spans="2:3" ht="12.75">
      <c r="B70" s="22" t="s">
        <v>123</v>
      </c>
      <c r="C70">
        <f>G18/G17</f>
        <v>0.25</v>
      </c>
    </row>
    <row r="71" spans="2:4" ht="12.75">
      <c r="B71" s="22" t="s">
        <v>125</v>
      </c>
      <c r="C71">
        <f>F142</f>
        <v>508</v>
      </c>
      <c r="D71" t="s">
        <v>32</v>
      </c>
    </row>
    <row r="72" spans="2:3" ht="12.75">
      <c r="B72" s="22" t="s">
        <v>124</v>
      </c>
      <c r="C72">
        <f>C71/SQRT(G17*C56)</f>
        <v>4.919658909617846</v>
      </c>
    </row>
    <row r="73" spans="2:3" ht="12.75">
      <c r="B73" s="3" t="s">
        <v>121</v>
      </c>
      <c r="C73">
        <v>2</v>
      </c>
    </row>
    <row r="74" spans="2:3" ht="15.75">
      <c r="B74" s="22" t="s">
        <v>120</v>
      </c>
      <c r="C74">
        <f>G17*C9/(4*C36*C55)*C73</f>
        <v>8.253968253968253</v>
      </c>
    </row>
    <row r="75" ht="12.75">
      <c r="B75" s="22"/>
    </row>
    <row r="76" spans="1:2" ht="12.75">
      <c r="A76" t="s">
        <v>77</v>
      </c>
      <c r="B76" s="5" t="s">
        <v>78</v>
      </c>
    </row>
    <row r="77" spans="2:8" ht="15.75">
      <c r="B77" s="22" t="s">
        <v>114</v>
      </c>
      <c r="C77">
        <v>1</v>
      </c>
      <c r="D77" t="s">
        <v>32</v>
      </c>
      <c r="H77" s="18"/>
    </row>
    <row r="78" spans="2:8" ht="15.75">
      <c r="B78" s="22" t="s">
        <v>115</v>
      </c>
      <c r="C78">
        <f>IF(C74&lt;30,2,1)</f>
        <v>2</v>
      </c>
      <c r="D78" t="s">
        <v>32</v>
      </c>
      <c r="H78" s="18"/>
    </row>
    <row r="79" spans="2:8" ht="15.75">
      <c r="B79" s="22" t="s">
        <v>113</v>
      </c>
      <c r="C79">
        <f>SUM(C77:C78)</f>
        <v>3</v>
      </c>
      <c r="D79" t="s">
        <v>32</v>
      </c>
      <c r="E79">
        <f>IF(OR(F60&lt;F80,F60=F80),"","sf&lt;sk ezért a fenék lemezvastagságát növelni kell, hogy a fenék ne legyen vékonyabb mint a köpeny")</f>
      </c>
      <c r="H79" s="18"/>
    </row>
    <row r="80" spans="2:8" ht="12.75">
      <c r="B80" s="22" t="s">
        <v>112</v>
      </c>
      <c r="C80">
        <f>C74+C79</f>
        <v>11.253968253968253</v>
      </c>
      <c r="D80" t="s">
        <v>32</v>
      </c>
      <c r="E80" t="s">
        <v>116</v>
      </c>
      <c r="F80">
        <f>IF(IF(ROUNDUP(C80,0)&lt;4,4,IF(ROUNDUP(C80,0)=7,8,IF(ROUNDUP(C80,0)=9,10,IF(ROUNDUP(C80,0)=11,12,IF(ROUNDUP(C80,0)=13,14,ROUNDUP(C80,0))))))&lt;F60,F60,IF(ROUNDUP(C80,0)&lt;4,4,IF(ROUNDUP(C80,0)=7,8,IF(ROUNDUP(C80,0)=9,10,IF(ROUNDUP(C80,0)=11,12,IF(ROUNDUP(C80,0)=13,14,ROUNDUP(C80,0)))))))</f>
        <v>12</v>
      </c>
      <c r="G80" t="s">
        <v>32</v>
      </c>
      <c r="H80" s="18"/>
    </row>
    <row r="81" spans="2:8" ht="12.75">
      <c r="B81" s="22"/>
      <c r="H81" s="18"/>
    </row>
    <row r="82" spans="1:8" ht="12.75">
      <c r="A82" s="2" t="s">
        <v>79</v>
      </c>
      <c r="B82" s="21" t="s">
        <v>80</v>
      </c>
      <c r="H82" s="18"/>
    </row>
    <row r="83" spans="1:8" ht="12.75">
      <c r="A83" s="2"/>
      <c r="B83" s="3" t="s">
        <v>139</v>
      </c>
      <c r="C83">
        <v>200</v>
      </c>
      <c r="D83" t="s">
        <v>32</v>
      </c>
      <c r="G83" s="32"/>
      <c r="H83" s="52"/>
    </row>
    <row r="84" spans="1:8" ht="12.75">
      <c r="A84" s="2"/>
      <c r="B84" s="22" t="s">
        <v>137</v>
      </c>
      <c r="C84">
        <f>C83+2*F60</f>
        <v>224</v>
      </c>
      <c r="D84" t="s">
        <v>32</v>
      </c>
      <c r="G84" s="32"/>
      <c r="H84" s="52"/>
    </row>
    <row r="85" spans="1:8" ht="12.75">
      <c r="A85" s="2"/>
      <c r="B85" s="22" t="s">
        <v>138</v>
      </c>
      <c r="C85">
        <f>F60</f>
        <v>12</v>
      </c>
      <c r="D85" t="s">
        <v>32</v>
      </c>
      <c r="G85" s="32"/>
      <c r="H85" s="52"/>
    </row>
    <row r="86" spans="1:8" ht="12.75">
      <c r="A86" s="2"/>
      <c r="B86" s="22" t="s">
        <v>131</v>
      </c>
      <c r="C86">
        <f>C25*1000+2*G22</f>
        <v>2097.870822987127</v>
      </c>
      <c r="D86" t="s">
        <v>32</v>
      </c>
      <c r="G86" s="32"/>
      <c r="H86" s="52"/>
    </row>
    <row r="87" spans="1:8" ht="12.75">
      <c r="A87" s="2"/>
      <c r="B87" s="22" t="s">
        <v>132</v>
      </c>
      <c r="C87">
        <f>C86+2*(2/3)*G18</f>
        <v>2531.2041563204607</v>
      </c>
      <c r="D87" t="s">
        <v>32</v>
      </c>
      <c r="G87" s="32"/>
      <c r="H87" s="52"/>
    </row>
    <row r="88" spans="1:8" ht="12.75">
      <c r="A88" s="2"/>
      <c r="B88" s="22" t="s">
        <v>133</v>
      </c>
      <c r="C88">
        <f>0.207*C87</f>
        <v>523.9592603583353</v>
      </c>
      <c r="D88" t="s">
        <v>32</v>
      </c>
      <c r="G88" s="32"/>
      <c r="H88" s="52"/>
    </row>
    <row r="89" spans="1:8" ht="12.75">
      <c r="A89" s="2"/>
      <c r="B89" s="22" t="s">
        <v>134</v>
      </c>
      <c r="C89" s="22">
        <f>C26*C87</f>
        <v>8226.881431021973</v>
      </c>
      <c r="D89" t="s">
        <v>33</v>
      </c>
      <c r="G89" s="32"/>
      <c r="H89" s="52"/>
    </row>
    <row r="90" spans="1:8" ht="15.75">
      <c r="A90" s="2"/>
      <c r="B90" s="22" t="s">
        <v>135</v>
      </c>
      <c r="C90">
        <f>1/47*C89*C87</f>
        <v>443062.05259060505</v>
      </c>
      <c r="G90" s="32"/>
      <c r="H90" s="52"/>
    </row>
    <row r="91" spans="1:8" ht="15.75">
      <c r="A91" s="2"/>
      <c r="B91" s="22" t="s">
        <v>136</v>
      </c>
      <c r="C91">
        <f>C89/2</f>
        <v>4113.440715510987</v>
      </c>
      <c r="G91" s="32"/>
      <c r="H91" s="52"/>
    </row>
    <row r="92" spans="1:8" ht="12.75">
      <c r="A92" s="2"/>
      <c r="B92" s="22"/>
      <c r="G92" s="32"/>
      <c r="H92" s="52"/>
    </row>
    <row r="93" spans="1:8" ht="12.75">
      <c r="A93" s="2"/>
      <c r="B93" s="22" t="s">
        <v>347</v>
      </c>
      <c r="G93" s="32"/>
      <c r="H93" s="52"/>
    </row>
    <row r="94" spans="1:8" ht="12.75">
      <c r="A94" s="2"/>
      <c r="B94" s="22" t="s">
        <v>28</v>
      </c>
      <c r="C94">
        <f>G17/2</f>
        <v>650</v>
      </c>
      <c r="D94" t="s">
        <v>32</v>
      </c>
      <c r="G94" s="32"/>
      <c r="H94" s="52"/>
    </row>
    <row r="95" spans="1:8" ht="12.75">
      <c r="A95" s="2"/>
      <c r="B95" s="22" t="s">
        <v>354</v>
      </c>
      <c r="C95">
        <f>VLOOKUP(VLOOKUP(C94,nyereg!P3:Q15,2),nyereg!A3:N19,3)</f>
        <v>55000</v>
      </c>
      <c r="D95" t="s">
        <v>307</v>
      </c>
      <c r="G95" s="32"/>
      <c r="H95" s="52"/>
    </row>
    <row r="96" spans="1:8" ht="12.75">
      <c r="A96" s="2"/>
      <c r="B96" s="22" t="s">
        <v>133</v>
      </c>
      <c r="C96">
        <f>VLOOKUP(VLOOKUP(C94,nyereg!P3:Q15,2),nyereg!A3:N19,4)</f>
        <v>830</v>
      </c>
      <c r="D96" t="s">
        <v>32</v>
      </c>
      <c r="G96" s="32"/>
      <c r="H96" s="52"/>
    </row>
    <row r="97" spans="1:8" ht="12.75">
      <c r="A97" s="2"/>
      <c r="B97" s="22" t="s">
        <v>139</v>
      </c>
      <c r="C97">
        <f>VLOOKUP(VLOOKUP(C94,nyereg!P3:Q15,2),nyereg!A3:N19,5)</f>
        <v>300</v>
      </c>
      <c r="D97" t="s">
        <v>32</v>
      </c>
      <c r="G97" s="32"/>
      <c r="H97" s="32"/>
    </row>
    <row r="98" spans="1:8" ht="12.75">
      <c r="A98" s="2"/>
      <c r="B98" s="22" t="s">
        <v>104</v>
      </c>
      <c r="C98" t="str">
        <f>VLOOKUP(VLOOKUP(C94,nyereg!P3:Q15,2),nyereg!A3:N19,6)</f>
        <v>-</v>
      </c>
      <c r="D98" t="s">
        <v>32</v>
      </c>
      <c r="G98" s="32"/>
      <c r="H98" s="32"/>
    </row>
    <row r="99" spans="1:8" ht="12.75">
      <c r="A99" s="2"/>
      <c r="B99" s="22" t="s">
        <v>125</v>
      </c>
      <c r="C99">
        <f>VLOOKUP(VLOOKUP(C94,nyereg!P3:Q15,2),nyereg!A3:N19,7)</f>
        <v>28</v>
      </c>
      <c r="D99" t="s">
        <v>32</v>
      </c>
      <c r="G99" s="32"/>
      <c r="H99" s="32"/>
    </row>
    <row r="100" spans="1:8" ht="12.75">
      <c r="A100" s="2"/>
      <c r="B100" s="22" t="s">
        <v>348</v>
      </c>
      <c r="C100">
        <f>VLOOKUP(VLOOKUP(C94,nyereg!P3:Q15,2),nyereg!A3:N19,8)</f>
        <v>240</v>
      </c>
      <c r="D100" t="s">
        <v>32</v>
      </c>
      <c r="G100" s="32"/>
      <c r="H100" s="32"/>
    </row>
    <row r="101" spans="1:8" ht="12.75">
      <c r="A101" s="2"/>
      <c r="B101" s="22" t="s">
        <v>105</v>
      </c>
      <c r="C101">
        <f>VLOOKUP(VLOOKUP(C94,nyereg!P3:Q15,2),nyereg!A3:N19,9)</f>
        <v>630</v>
      </c>
      <c r="D101" t="s">
        <v>32</v>
      </c>
      <c r="G101" s="32"/>
      <c r="H101" s="32"/>
    </row>
    <row r="102" spans="1:8" ht="12.75">
      <c r="A102" s="2"/>
      <c r="B102" s="22" t="s">
        <v>349</v>
      </c>
      <c r="C102">
        <f>VLOOKUP(VLOOKUP(C94,nyereg!P3:Q15,2),nyereg!A3:N19,10)</f>
        <v>105</v>
      </c>
      <c r="D102" t="s">
        <v>32</v>
      </c>
      <c r="G102" s="32"/>
      <c r="H102" s="32"/>
    </row>
    <row r="103" spans="1:8" ht="12.75">
      <c r="A103" s="2"/>
      <c r="B103" s="22" t="s">
        <v>27</v>
      </c>
      <c r="C103">
        <f>VLOOKUP(VLOOKUP(C94,nyereg!P3:Q15,2),nyereg!A3:N19,11)</f>
        <v>250</v>
      </c>
      <c r="D103" t="s">
        <v>32</v>
      </c>
      <c r="G103" s="32"/>
      <c r="H103" s="32"/>
    </row>
    <row r="104" spans="1:8" ht="12.75">
      <c r="A104" s="2"/>
      <c r="B104" s="22" t="s">
        <v>350</v>
      </c>
      <c r="C104">
        <f>VLOOKUP(VLOOKUP(C94,nyereg!P3:Q15,2),nyereg!A3:N19,12)</f>
        <v>14</v>
      </c>
      <c r="D104" t="s">
        <v>32</v>
      </c>
      <c r="G104" s="32"/>
      <c r="H104" s="32"/>
    </row>
    <row r="105" spans="1:8" ht="12.75">
      <c r="A105" s="2"/>
      <c r="B105" s="22" t="s">
        <v>351</v>
      </c>
      <c r="C105">
        <f>VLOOKUP(VLOOKUP(C94,nyereg!P3:Q15,2),nyereg!A3:N19,13)</f>
        <v>10</v>
      </c>
      <c r="D105" t="s">
        <v>32</v>
      </c>
      <c r="G105" s="32"/>
      <c r="H105" s="32"/>
    </row>
    <row r="106" spans="1:8" ht="12.75">
      <c r="A106" s="2"/>
      <c r="B106" s="22" t="s">
        <v>352</v>
      </c>
      <c r="C106" t="str">
        <f>CONCATENATE("Alacsony készüléknyereg R = ",C94," KGSZ ",LEFT(VLOOKUP(VLOOKUP(C94,nyereg!P3:Q15,2),nyereg!A3:N19,14),6)," S235 JRG2")</f>
        <v>Alacsony készüléknyereg R = 650 KGSZ 95.310 S235 JRG2</v>
      </c>
      <c r="G106" s="32"/>
      <c r="H106" s="32"/>
    </row>
    <row r="107" ht="12.75">
      <c r="B107" s="22"/>
    </row>
    <row r="108" spans="1:2" ht="12.75">
      <c r="A108" s="2" t="s">
        <v>81</v>
      </c>
      <c r="B108" s="21" t="s">
        <v>82</v>
      </c>
    </row>
    <row r="109" spans="1:4" ht="12.75">
      <c r="A109" s="2"/>
      <c r="B109" t="s">
        <v>111</v>
      </c>
      <c r="C109">
        <v>20</v>
      </c>
      <c r="D109" t="s">
        <v>140</v>
      </c>
    </row>
    <row r="110" spans="1:6" ht="15.75">
      <c r="A110" s="2"/>
      <c r="B110" s="3" t="s">
        <v>276</v>
      </c>
      <c r="C110">
        <f>ROUND(SQRT(4*(G4/3600)/(C109*PI()))*1000,2)</f>
        <v>78.67</v>
      </c>
      <c r="D110" t="s">
        <v>32</v>
      </c>
      <c r="E110" t="s">
        <v>24</v>
      </c>
      <c r="F110" s="33" t="str">
        <f>CONCATENATE("NA ",VLOOKUP(ROUND(C110,0),'3. táblázat'!F2:G187,2))</f>
        <v>NA 80</v>
      </c>
    </row>
    <row r="111" spans="1:6" ht="15.75">
      <c r="A111" s="2"/>
      <c r="B111" s="3" t="s">
        <v>290</v>
      </c>
      <c r="C111" s="1">
        <v>80</v>
      </c>
      <c r="D111" t="s">
        <v>32</v>
      </c>
      <c r="F111" s="33"/>
    </row>
    <row r="112" spans="1:6" ht="15.75">
      <c r="A112" s="2"/>
      <c r="B112" s="22" t="s">
        <v>296</v>
      </c>
      <c r="C112" s="35">
        <f>POWER((VLOOKUP(VALUE(RIGHT(F110,LEN(F110)-3)),'3. táblázat'!A2:D14,2)-2*VLOOKUP(VALUE(RIGHT(F110,LEN(F110)-3)),'3. táblázat'!A2:D14,3))/1000,2)*PI()/4*C111/1000</f>
        <v>0.0004286866538641259</v>
      </c>
      <c r="D112" t="s">
        <v>9</v>
      </c>
      <c r="F112" s="33"/>
    </row>
    <row r="113" spans="1:6" ht="15.75">
      <c r="A113" s="2"/>
      <c r="B113" s="3" t="s">
        <v>277</v>
      </c>
      <c r="C113">
        <f>ROUND(SQRT(4*(G5/3600)/(C109*PI()))*1000,2)</f>
        <v>39.89</v>
      </c>
      <c r="D113" t="s">
        <v>32</v>
      </c>
      <c r="E113" t="s">
        <v>24</v>
      </c>
      <c r="F113" s="33" t="str">
        <f>CONCATENATE("NA ",VLOOKUP(ROUND(C113,0),'3. táblázat'!F2:G187,2))</f>
        <v>NA 40</v>
      </c>
    </row>
    <row r="114" spans="1:6" ht="15.75">
      <c r="A114" s="2"/>
      <c r="B114" s="3" t="s">
        <v>291</v>
      </c>
      <c r="C114" s="1">
        <v>80</v>
      </c>
      <c r="D114" t="s">
        <v>32</v>
      </c>
      <c r="F114" s="33"/>
    </row>
    <row r="115" spans="1:6" ht="15.75">
      <c r="A115" s="2"/>
      <c r="B115" s="22" t="s">
        <v>297</v>
      </c>
      <c r="C115" s="35">
        <f>POWER((VLOOKUP(VALUE(RIGHT(F113,LEN(F113)-3)),'3. táblázat'!A2:D14,2)-2*VLOOKUP(VALUE(RIGHT(F113,LEN(F113)-3)),'3. táblázat'!A2:D14,3))/1000,2)*PI()/4*C114/1000</f>
        <v>9.704316875085797E-05</v>
      </c>
      <c r="D115" t="s">
        <v>9</v>
      </c>
      <c r="F115" s="33"/>
    </row>
    <row r="116" spans="1:6" ht="12.75">
      <c r="A116" s="2"/>
      <c r="B116" s="3" t="s">
        <v>160</v>
      </c>
      <c r="C116">
        <v>1.7</v>
      </c>
      <c r="F116" s="32"/>
    </row>
    <row r="117" spans="1:4" ht="12.75">
      <c r="A117" s="2"/>
      <c r="B117" s="3" t="s">
        <v>186</v>
      </c>
      <c r="C117" t="str">
        <f>VLOOKUP(D117,'5. táblázat'!A3:E8,3,)</f>
        <v>St 33 R</v>
      </c>
      <c r="D117" s="1">
        <v>1</v>
      </c>
    </row>
    <row r="118" spans="1:3" ht="15.75">
      <c r="A118" s="2"/>
      <c r="B118" s="3" t="s">
        <v>158</v>
      </c>
      <c r="C118">
        <f>VLOOKUP(D117,'5. táblázat'!A3:E8,5,)/C116</f>
        <v>85.29411764705883</v>
      </c>
    </row>
    <row r="119" spans="1:3" ht="12.75">
      <c r="A119" s="2"/>
      <c r="B119" s="3" t="s">
        <v>111</v>
      </c>
      <c r="C119">
        <v>1</v>
      </c>
    </row>
    <row r="120" spans="1:4" ht="15.75">
      <c r="A120" s="2"/>
      <c r="B120" s="3" t="s">
        <v>159</v>
      </c>
      <c r="C120">
        <f>VLOOKUP(VALUE(RIGHT(F110,LEN(F110)-3)),'3. táblázat'!A2:B14,2)*C9/(2*C118*C119)</f>
        <v>0.6956321839080459</v>
      </c>
      <c r="D120" t="s">
        <v>32</v>
      </c>
    </row>
    <row r="121" spans="1:4" ht="12.75">
      <c r="A121" s="2"/>
      <c r="B121" s="3" t="s">
        <v>187</v>
      </c>
      <c r="C121">
        <v>0.5</v>
      </c>
      <c r="D121" t="s">
        <v>32</v>
      </c>
    </row>
    <row r="122" spans="1:4" ht="12.75">
      <c r="A122" s="2"/>
      <c r="B122" s="3" t="s">
        <v>188</v>
      </c>
      <c r="C122">
        <v>0.5</v>
      </c>
      <c r="D122" t="s">
        <v>32</v>
      </c>
    </row>
    <row r="123" spans="1:6" ht="15.75">
      <c r="A123" s="2"/>
      <c r="B123" s="3" t="s">
        <v>189</v>
      </c>
      <c r="C123">
        <f>C120+C121+C122</f>
        <v>1.695632183908046</v>
      </c>
      <c r="D123" t="s">
        <v>32</v>
      </c>
      <c r="E123" t="s">
        <v>24</v>
      </c>
      <c r="F123" t="str">
        <f>IF(Méretezés!C123&lt;VLOOKUP(VALUE(RIGHT(F110,LEN(F110)-3)),'3. táblázat'!A2:C14,3),"Normál falvastagság megfelel","Vastagfalú cső kell")</f>
        <v>Normál falvastagság megfelel</v>
      </c>
    </row>
    <row r="124" spans="1:3" ht="12.75">
      <c r="A124" s="2"/>
      <c r="B124" s="3" t="s">
        <v>293</v>
      </c>
      <c r="C124" t="s">
        <v>294</v>
      </c>
    </row>
    <row r="125" spans="1:4" ht="15.75">
      <c r="A125" s="2"/>
      <c r="B125" s="3" t="s">
        <v>295</v>
      </c>
      <c r="C125" s="1">
        <v>80</v>
      </c>
      <c r="D125" t="s">
        <v>32</v>
      </c>
    </row>
    <row r="126" spans="1:4" ht="15.75">
      <c r="A126" s="2"/>
      <c r="B126" s="22" t="s">
        <v>298</v>
      </c>
      <c r="C126" s="35">
        <f>POWER((VLOOKUP(VALUE(RIGHT(C124,LEN(C124)-3)),'3. táblázat'!A2:D14,2)-2*VLOOKUP(VALUE(RIGHT(C124,2)),'3. táblázat'!A2:D14,3))/1000,LEN(C124)-3)*PI()/4*C125/1000</f>
        <v>2.6148103974358556E-05</v>
      </c>
      <c r="D126" t="s">
        <v>9</v>
      </c>
    </row>
    <row r="127" spans="1:2" ht="12.75">
      <c r="A127" t="s">
        <v>83</v>
      </c>
      <c r="B127" s="5" t="s">
        <v>84</v>
      </c>
    </row>
    <row r="128" spans="2:3" ht="12.75">
      <c r="B128" s="22" t="s">
        <v>134</v>
      </c>
      <c r="C128">
        <v>1.52</v>
      </c>
    </row>
    <row r="129" spans="2:4" ht="15.75">
      <c r="B129" t="s">
        <v>191</v>
      </c>
      <c r="C129">
        <v>45</v>
      </c>
      <c r="D129" s="26" t="s">
        <v>201</v>
      </c>
    </row>
    <row r="130" spans="2:4" ht="12.75">
      <c r="B130" s="22" t="s">
        <v>190</v>
      </c>
      <c r="C130">
        <f>C129+273</f>
        <v>318</v>
      </c>
      <c r="D130" t="s">
        <v>192</v>
      </c>
    </row>
    <row r="131" spans="2:5" ht="12.75">
      <c r="B131" s="22" t="s">
        <v>193</v>
      </c>
      <c r="C131">
        <v>29.7</v>
      </c>
      <c r="E131" s="1">
        <v>1</v>
      </c>
    </row>
    <row r="132" spans="2:4" ht="12.75">
      <c r="B132" s="22" t="s">
        <v>194</v>
      </c>
      <c r="C132">
        <f>IF(E131=1,22,16)</f>
        <v>22</v>
      </c>
      <c r="D132" t="str">
        <f>IF(E131=1,"egyszerű kisemelkedésű rugóterhelésű biztonsági szelep","egyszerű kisemelkedésű súlyterhelésű biztonsági szelep")</f>
        <v>egyszerű kisemelkedésű rugóterhelésű biztonsági szelep</v>
      </c>
    </row>
    <row r="133" spans="2:4" ht="14.25">
      <c r="B133" t="s">
        <v>195</v>
      </c>
      <c r="C133">
        <f>IF(C132*(G4/(0.291*C128))*SQRT(C131/C130)&lt;130,130,C132*(G4/(0.291*C128))*SQRT(C131/C130))</f>
        <v>5320.087961462382</v>
      </c>
      <c r="D133" t="s">
        <v>196</v>
      </c>
    </row>
    <row r="134" spans="2:6" ht="15.75">
      <c r="B134" t="s">
        <v>275</v>
      </c>
      <c r="C134">
        <f>SQRT(4*C133/PI())</f>
        <v>82.30277257786267</v>
      </c>
      <c r="D134" t="s">
        <v>32</v>
      </c>
      <c r="E134" t="s">
        <v>24</v>
      </c>
      <c r="F134" s="32" t="str">
        <f>CONCATENATE("NA ",VLOOKUP(ROUND(C134,0),'3. táblázat'!F2:G187,2))</f>
        <v>NA 80</v>
      </c>
    </row>
    <row r="135" spans="2:6" ht="15.75">
      <c r="B135" s="3" t="s">
        <v>292</v>
      </c>
      <c r="C135" s="1">
        <v>80</v>
      </c>
      <c r="D135" t="s">
        <v>32</v>
      </c>
      <c r="F135" s="32"/>
    </row>
    <row r="136" spans="2:6" ht="15.75">
      <c r="B136" s="22" t="s">
        <v>299</v>
      </c>
      <c r="C136">
        <f>POWER((VLOOKUP(VALUE(RIGHT(F134,LEN(F134)-3)),'3. táblázat'!A2:D14,2)-2*VLOOKUP(VALUE(RIGHT(F134,LEN(F134)-3)),'3. táblázat'!A2:D14,3))/1000,2)*PI()/4*C135/1000</f>
        <v>0.0004286866538641259</v>
      </c>
      <c r="D136" t="s">
        <v>9</v>
      </c>
      <c r="F136" s="32"/>
    </row>
    <row r="137" s="32" customFormat="1" ht="12.75"/>
    <row r="138" spans="1:2" ht="12.75">
      <c r="A138" s="2" t="s">
        <v>85</v>
      </c>
      <c r="B138" s="21" t="s">
        <v>86</v>
      </c>
    </row>
    <row r="139" spans="1:2" ht="12.75">
      <c r="A139" t="s">
        <v>87</v>
      </c>
      <c r="B139" s="5" t="s">
        <v>88</v>
      </c>
    </row>
    <row r="140" ht="12.75">
      <c r="B140" s="22" t="s">
        <v>223</v>
      </c>
    </row>
    <row r="141" spans="2:4" ht="12.75">
      <c r="B141" s="22" t="s">
        <v>197</v>
      </c>
      <c r="C141">
        <f>0.6*G17</f>
        <v>780</v>
      </c>
      <c r="D141" t="str">
        <f>IF(C141&lt;450,"","mm")</f>
        <v>mm</v>
      </c>
    </row>
    <row r="142" spans="2:7" ht="15.75">
      <c r="B142" s="22" t="s">
        <v>210</v>
      </c>
      <c r="C142">
        <f>IF(C141&lt;450,"350x450 mm-es ovális búvónyílás kell",IF(C141&gt;500,500,VLOOKUP(ROUND(C141/10,0)*10,'Heg.Toldatos karimák'!S1:T96,2)))</f>
        <v>500</v>
      </c>
      <c r="D142" t="s">
        <v>32</v>
      </c>
      <c r="E142" t="s">
        <v>249</v>
      </c>
      <c r="F142">
        <f>VLOOKUP(C142,'Heg.Toldatos karimák'!A4:Q18,2)</f>
        <v>508</v>
      </c>
      <c r="G142" t="s">
        <v>32</v>
      </c>
    </row>
    <row r="143" spans="2:4" ht="15.75">
      <c r="B143" s="3" t="s">
        <v>356</v>
      </c>
      <c r="C143" s="1">
        <v>150</v>
      </c>
      <c r="D143" t="s">
        <v>32</v>
      </c>
    </row>
    <row r="145" spans="1:2" ht="12.75">
      <c r="A145" t="s">
        <v>198</v>
      </c>
      <c r="B145" s="5" t="s">
        <v>221</v>
      </c>
    </row>
    <row r="146" spans="2:3" ht="15.75">
      <c r="B146" s="22" t="s">
        <v>357</v>
      </c>
      <c r="C146" s="56">
        <f>ROUND(C142/SQRT(G17*(C148-C152)),2)</f>
        <v>2.96</v>
      </c>
    </row>
    <row r="147" spans="2:6" ht="15.75">
      <c r="B147" s="22" t="s">
        <v>216</v>
      </c>
      <c r="C147" s="22">
        <f>HLOOKUP(ROUNDDOWN(C146,0),vk!B6:J7,2)-(C146-VALUE(LEFT(C146,IF(LEN(C146)=1,1,LEN(C146)-3))))*(HLOOKUP(ROUNDDOWN(C146,0),vk!B6:J7,2)-HLOOKUP(ROUNDUP(C146,0),vk!B6:J7,2))</f>
        <v>0.3452</v>
      </c>
      <c r="F147" s="32"/>
    </row>
    <row r="148" spans="2:4" ht="15.75">
      <c r="B148" s="22" t="s">
        <v>212</v>
      </c>
      <c r="C148" s="22">
        <f>2*F60</f>
        <v>24</v>
      </c>
      <c r="D148" t="s">
        <v>32</v>
      </c>
    </row>
    <row r="149" spans="2:4" ht="15.75">
      <c r="B149" s="22" t="s">
        <v>211</v>
      </c>
      <c r="C149">
        <f>G17*C9/(2*C36*C147+C9)</f>
        <v>16.52472352866404</v>
      </c>
      <c r="D149" t="s">
        <v>32</v>
      </c>
    </row>
    <row r="150" spans="2:4" ht="15.75">
      <c r="B150" s="22" t="s">
        <v>114</v>
      </c>
      <c r="C150">
        <v>1</v>
      </c>
      <c r="D150" t="s">
        <v>32</v>
      </c>
    </row>
    <row r="151" spans="2:4" ht="15.75">
      <c r="B151" s="22" t="s">
        <v>115</v>
      </c>
      <c r="C151">
        <f>IF(C148&lt;30,1,0)</f>
        <v>1</v>
      </c>
      <c r="D151" t="s">
        <v>32</v>
      </c>
    </row>
    <row r="152" spans="2:4" ht="15.75">
      <c r="B152" s="22" t="s">
        <v>113</v>
      </c>
      <c r="C152">
        <f>SUM(C150:C151)</f>
        <v>2</v>
      </c>
      <c r="D152" t="s">
        <v>32</v>
      </c>
    </row>
    <row r="153" spans="2:7" ht="12.75">
      <c r="B153" s="22" t="s">
        <v>112</v>
      </c>
      <c r="C153">
        <f>C149+C152</f>
        <v>18.52472352866404</v>
      </c>
      <c r="D153" t="s">
        <v>32</v>
      </c>
      <c r="E153" t="s">
        <v>116</v>
      </c>
      <c r="F153">
        <f>ROUNDUP(C153,0)</f>
        <v>19</v>
      </c>
      <c r="G153" t="s">
        <v>32</v>
      </c>
    </row>
    <row r="155" spans="1:2" ht="12.75">
      <c r="A155" t="s">
        <v>199</v>
      </c>
      <c r="B155" s="5" t="s">
        <v>222</v>
      </c>
    </row>
    <row r="156" spans="2:7" ht="12.75">
      <c r="B156" s="22" t="s">
        <v>217</v>
      </c>
      <c r="C156">
        <f>SQRT(G17*(C149-C152))</f>
        <v>137.41230144082172</v>
      </c>
      <c r="D156" t="s">
        <v>32</v>
      </c>
      <c r="E156" t="s">
        <v>218</v>
      </c>
      <c r="F156">
        <f>ROUND(C156/10,0)*10</f>
        <v>140</v>
      </c>
      <c r="G156" t="s">
        <v>32</v>
      </c>
    </row>
    <row r="157" spans="2:4" ht="12.75">
      <c r="B157" s="22" t="s">
        <v>219</v>
      </c>
      <c r="C157">
        <f>C149-F60</f>
        <v>4.52472352866404</v>
      </c>
      <c r="D157" t="s">
        <v>32</v>
      </c>
    </row>
    <row r="158" spans="2:7" ht="12.75">
      <c r="B158" s="22" t="s">
        <v>27</v>
      </c>
      <c r="C158">
        <f>C157*((1+C156/F156)/2)</f>
        <v>4.482907026679026</v>
      </c>
      <c r="D158" t="s">
        <v>32</v>
      </c>
      <c r="E158" t="s">
        <v>220</v>
      </c>
      <c r="F158">
        <f>IF(ROUNDUP(C158,0)&lt;4,4,IF(ROUNDUP(C158,0)=9,10,IF(ROUNDUP(C158,0)=11,12,IF(ROUNDUP(C158,0)=13,14,IF(ROUNDUP(C158,0)=15,16,IF(ROUNDUP(C158,0)=17,18,IF(ROUNDUP(C158,0)=19,20,ROUNDUP(C158,0))))))))</f>
        <v>5</v>
      </c>
      <c r="G158" t="s">
        <v>32</v>
      </c>
    </row>
    <row r="159" ht="12.75">
      <c r="B159" s="22"/>
    </row>
    <row r="160" spans="1:2" ht="12.75">
      <c r="A160" t="s">
        <v>89</v>
      </c>
      <c r="B160" s="5" t="s">
        <v>90</v>
      </c>
    </row>
    <row r="161" spans="2:3" ht="12.75">
      <c r="B161" s="22" t="s">
        <v>267</v>
      </c>
      <c r="C161" t="s">
        <v>268</v>
      </c>
    </row>
    <row r="162" spans="2:4" ht="12.75">
      <c r="B162" s="22" t="s">
        <v>255</v>
      </c>
      <c r="C162" s="22">
        <f>VALUE(LEFT(E41,LEN(E41)-29))</f>
        <v>16</v>
      </c>
      <c r="D162" t="s">
        <v>206</v>
      </c>
    </row>
    <row r="163" ht="12.75">
      <c r="B163" s="2" t="s">
        <v>226</v>
      </c>
    </row>
    <row r="164" spans="2:6" ht="12.75">
      <c r="B164" s="22" t="s">
        <v>250</v>
      </c>
      <c r="C164">
        <f>VLOOKUP(C142,IF(C162=6,'Heg.Toldatos karimák'!A4:Q18,IF(C162=6,'Heg.Toldatos karimák'!A24:Q38,'Heg.Toldatos karimák'!A44:Q58)),7)</f>
        <v>508</v>
      </c>
      <c r="D164" t="s">
        <v>32</v>
      </c>
      <c r="F164" s="32"/>
    </row>
    <row r="165" spans="2:6" ht="12.75">
      <c r="B165" s="22" t="s">
        <v>26</v>
      </c>
      <c r="C165">
        <f>VLOOKUP(C142,IF(C162=6,'Heg.Toldatos karimák'!A4:Q18,IF(C162=6,'Heg.Toldatos karimák'!A24:Q38,'Heg.Toldatos karimák'!A44:Q58)),8)</f>
        <v>8</v>
      </c>
      <c r="D165" t="s">
        <v>32</v>
      </c>
      <c r="F165" s="32"/>
    </row>
    <row r="166" spans="2:6" ht="12.75">
      <c r="B166" s="22" t="s">
        <v>251</v>
      </c>
      <c r="C166">
        <f>VLOOKUP(C142,IF(C162=6,'Heg.Toldatos karimák'!A4:Q18,IF(C162=6,'Heg.Toldatos karimák'!A24:Q38,'Heg.Toldatos karimák'!A44:Q58)),9)</f>
        <v>548</v>
      </c>
      <c r="D166" t="s">
        <v>32</v>
      </c>
      <c r="F166" s="32"/>
    </row>
    <row r="167" spans="2:6" ht="12.75">
      <c r="B167" s="22" t="s">
        <v>29</v>
      </c>
      <c r="C167">
        <f>VLOOKUP(C142,IF(C162=6,'Heg.Toldatos karimák'!A4:Q18,IF(C162=6,'Heg.Toldatos karimák'!A24:Q38,'Heg.Toldatos karimák'!A44:Q58)),10)</f>
        <v>12</v>
      </c>
      <c r="D167" t="s">
        <v>32</v>
      </c>
      <c r="F167" s="32"/>
    </row>
    <row r="168" spans="2:6" ht="12.75">
      <c r="B168" s="22" t="s">
        <v>104</v>
      </c>
      <c r="C168">
        <f>VLOOKUP(C142,IF(C162=6,'Heg.Toldatos karimák'!A4:Q18,IF(C162=6,'Heg.Toldatos karimák'!A24:Q38,'Heg.Toldatos karimák'!A44:Q58)),11)</f>
        <v>16</v>
      </c>
      <c r="D168" t="s">
        <v>32</v>
      </c>
      <c r="F168" s="32"/>
    </row>
    <row r="169" spans="2:6" ht="12.75">
      <c r="B169" s="2" t="s">
        <v>225</v>
      </c>
      <c r="F169" s="32"/>
    </row>
    <row r="170" spans="2:6" ht="12.75">
      <c r="B170" s="22" t="s">
        <v>22</v>
      </c>
      <c r="C170">
        <f>VLOOKUP(C142,IF(C162=6,'Heg.Toldatos karimák'!A4:Q18,IF(C162=6,'Heg.Toldatos karimák'!A24:Q38,'Heg.Toldatos karimák'!A44:Q58)),3)</f>
        <v>715</v>
      </c>
      <c r="D170" t="s">
        <v>32</v>
      </c>
      <c r="F170" s="32"/>
    </row>
    <row r="171" spans="2:6" ht="12.75">
      <c r="B171" s="22" t="s">
        <v>139</v>
      </c>
      <c r="C171">
        <f>VLOOKUP(C142,IF(C162=6,'Heg.Toldatos karimák'!A4:Q18,IF(C162=6,'Heg.Toldatos karimák'!A24:Q38,'Heg.Toldatos karimák'!A44:Q58)),4)</f>
        <v>34</v>
      </c>
      <c r="D171" t="s">
        <v>32</v>
      </c>
      <c r="F171" s="32"/>
    </row>
    <row r="172" spans="2:6" ht="12.75">
      <c r="B172" s="22" t="s">
        <v>252</v>
      </c>
      <c r="C172">
        <f>VLOOKUP(C142,IF(C162=6,'Heg.Toldatos karimák'!A4:Q18,IF(C162=6,'Heg.Toldatos karimák'!A24:Q38,'Heg.Toldatos karimák'!A44:Q58)),5)</f>
        <v>650</v>
      </c>
      <c r="D172" t="s">
        <v>32</v>
      </c>
      <c r="F172" s="32"/>
    </row>
    <row r="173" spans="2:4" ht="12.75">
      <c r="B173" s="22" t="s">
        <v>27</v>
      </c>
      <c r="C173">
        <f>VLOOKUP(C142,IF(C162=6,'Heg.Toldatos karimák'!A4:Q18,IF(C162=6,'Heg.Toldatos karimák'!A24:Q38,'Heg.Toldatos karimák'!A44:Q58)),6)</f>
        <v>90</v>
      </c>
      <c r="D173" t="s">
        <v>32</v>
      </c>
    </row>
    <row r="174" ht="12.75">
      <c r="B174" s="2" t="s">
        <v>253</v>
      </c>
    </row>
    <row r="175" spans="2:4" ht="12.75">
      <c r="B175" s="22" t="s">
        <v>254</v>
      </c>
      <c r="C175">
        <f>VLOOKUP(C142,IF(C162=6,'Heg.Toldatos karimák'!A4:Q18,IF(C162=6,'Heg.Toldatos karimák'!A24:Q38,'Heg.Toldatos karimák'!A44:Q58)),12)</f>
        <v>610</v>
      </c>
      <c r="D175" t="s">
        <v>32</v>
      </c>
    </row>
    <row r="176" spans="2:3" ht="12.75">
      <c r="B176" s="22" t="s">
        <v>105</v>
      </c>
      <c r="C176">
        <f>VLOOKUP(C142,IF(C162=6,'Heg.Toldatos karimák'!A4:Q18,IF(C162=6,'Heg.Toldatos karimák'!A24:Q38,'Heg.Toldatos karimák'!A44:Q58)),13)</f>
        <v>4</v>
      </c>
    </row>
    <row r="177" ht="12.75">
      <c r="B177" s="2" t="s">
        <v>228</v>
      </c>
    </row>
    <row r="178" spans="2:4" ht="12.75">
      <c r="B178" s="22" t="s">
        <v>160</v>
      </c>
      <c r="C178">
        <f>VLOOKUP(C142,IF(C162=6,'Heg.Toldatos karimák'!A4:Q18,IF(C162=6,'Heg.Toldatos karimák'!A24:Q38,'Heg.Toldatos karimák'!A44:Q58)),14)</f>
        <v>20</v>
      </c>
      <c r="D178" t="str">
        <f>CONCATENATE("db ",VLOOKUP(C142,IF(C162=6,'Heg.Toldatos karimák'!A4:Q18,IF(C162=6,'Heg.Toldatos karimák'!A24:Q38,'Heg.Toldatos karimák'!A44:Q58)),15)," méretű csavar")</f>
        <v>db M30 méretű csavar</v>
      </c>
    </row>
    <row r="179" spans="2:4" ht="12.75">
      <c r="B179" s="22" t="s">
        <v>269</v>
      </c>
      <c r="C179">
        <f>VLOOKUP(C142,IF(C162=6,'Heg.Toldatos karimák'!A4:Q18,IF(C162=6,'Heg.Toldatos karimák'!A24:Q38,'Heg.Toldatos karimák'!A44:Q58)),16)</f>
        <v>33</v>
      </c>
      <c r="D179" t="s">
        <v>32</v>
      </c>
    </row>
    <row r="180" ht="12.75">
      <c r="B180" s="22" t="s">
        <v>261</v>
      </c>
    </row>
    <row r="181" spans="2:4" ht="15.75">
      <c r="B181" s="22" t="s">
        <v>256</v>
      </c>
      <c r="C181">
        <f>((C164-2*C165)+C175)/2</f>
        <v>551</v>
      </c>
      <c r="D181" t="s">
        <v>32</v>
      </c>
    </row>
    <row r="182" spans="2:4" ht="15.75">
      <c r="B182" s="22" t="s">
        <v>257</v>
      </c>
      <c r="C182">
        <f>POWER(C181,2)*PI()/4*(C9/C178)</f>
        <v>15896.511187041913</v>
      </c>
      <c r="D182" t="s">
        <v>258</v>
      </c>
    </row>
    <row r="183" spans="2:3" ht="12.75">
      <c r="B183" s="22" t="s">
        <v>259</v>
      </c>
      <c r="C183">
        <f>0.8*SQRT(1-C181/C172)</f>
        <v>0.31221294508223557</v>
      </c>
    </row>
    <row r="184" spans="2:3" ht="12.75">
      <c r="B184" s="22" t="s">
        <v>111</v>
      </c>
      <c r="C184">
        <v>1</v>
      </c>
    </row>
    <row r="185" spans="2:4" ht="15.75">
      <c r="B185" s="3" t="s">
        <v>260</v>
      </c>
      <c r="C185">
        <v>110</v>
      </c>
      <c r="D185" t="s">
        <v>11</v>
      </c>
    </row>
    <row r="186" spans="2:3" ht="12.75">
      <c r="B186" s="3" t="s">
        <v>263</v>
      </c>
      <c r="C186">
        <f>C175-(C164-(2*C165))</f>
        <v>118</v>
      </c>
    </row>
    <row r="187" spans="2:3" ht="12.75">
      <c r="B187" s="3" t="s">
        <v>134</v>
      </c>
      <c r="C187">
        <v>1.25</v>
      </c>
    </row>
    <row r="188" spans="2:4" ht="15.75">
      <c r="B188" s="22" t="s">
        <v>262</v>
      </c>
      <c r="C188">
        <f>C181*PI()*C9*C186*C187/C178</f>
        <v>17021.672595925094</v>
      </c>
      <c r="D188" t="s">
        <v>258</v>
      </c>
    </row>
    <row r="189" ht="12.75">
      <c r="B189" s="22"/>
    </row>
    <row r="190" spans="2:4" ht="15.75">
      <c r="B190" s="22" t="s">
        <v>264</v>
      </c>
      <c r="C190">
        <f>C182+C188</f>
        <v>32918.18378296701</v>
      </c>
      <c r="D190" t="s">
        <v>258</v>
      </c>
    </row>
    <row r="191" ht="12.75">
      <c r="B191" s="22"/>
    </row>
    <row r="192" spans="2:4" ht="12.75">
      <c r="B192" s="22" t="s">
        <v>265</v>
      </c>
      <c r="C192">
        <f>C183/C184*SQRT(C178*C190/C185)</f>
        <v>24.15391279593241</v>
      </c>
      <c r="D192" t="s">
        <v>32</v>
      </c>
    </row>
    <row r="193" spans="2:4" ht="12.75">
      <c r="B193" s="22" t="s">
        <v>187</v>
      </c>
      <c r="C193">
        <v>1</v>
      </c>
      <c r="D193" t="s">
        <v>32</v>
      </c>
    </row>
    <row r="194" spans="2:4" ht="12.75">
      <c r="B194" s="22" t="s">
        <v>188</v>
      </c>
      <c r="C194">
        <v>1</v>
      </c>
      <c r="D194" t="s">
        <v>32</v>
      </c>
    </row>
    <row r="195" spans="2:4" ht="12.75">
      <c r="B195" s="22" t="s">
        <v>104</v>
      </c>
      <c r="C195">
        <f>SUM(C193:C194)</f>
        <v>2</v>
      </c>
      <c r="D195" t="s">
        <v>32</v>
      </c>
    </row>
    <row r="196" spans="2:4" ht="12.75">
      <c r="B196" s="22" t="s">
        <v>266</v>
      </c>
      <c r="C196">
        <f>C192+C193+C194</f>
        <v>26.15391279593241</v>
      </c>
      <c r="D196" t="s">
        <v>32</v>
      </c>
    </row>
    <row r="197" spans="2:5" ht="12.75">
      <c r="B197" s="22" t="s">
        <v>139</v>
      </c>
      <c r="C197">
        <f>VLOOKUP(C162,'7. táblázat'!A4:J6,3)</f>
        <v>34</v>
      </c>
      <c r="D197" t="s">
        <v>32</v>
      </c>
      <c r="E197" s="4"/>
    </row>
    <row r="198" spans="2:5" ht="12.75">
      <c r="B198" s="34" t="s">
        <v>285</v>
      </c>
      <c r="C198" s="18" t="str">
        <f>IF(C196&lt;C197+2,"&lt;","&gt;")</f>
        <v>&lt;</v>
      </c>
      <c r="D198" t="s">
        <v>286</v>
      </c>
      <c r="E198" s="22" t="str">
        <f>IF(C198="&lt;","tehát a síkfedél megfelel","No most akkor mi van?")</f>
        <v>tehát a síkfedél megfelel</v>
      </c>
    </row>
    <row r="199" spans="2:4" ht="15.75">
      <c r="B199" s="22" t="s">
        <v>300</v>
      </c>
      <c r="C199">
        <f>POWER((C164-2*C165)/1000,2)*PI()/4*C143/1000</f>
        <v>0.028517493153695988</v>
      </c>
      <c r="D199" t="s">
        <v>9</v>
      </c>
    </row>
    <row r="200" ht="12.75">
      <c r="B200" s="22"/>
    </row>
    <row r="201" spans="1:2" ht="12.75">
      <c r="A201" t="s">
        <v>92</v>
      </c>
      <c r="B201" s="5" t="s">
        <v>91</v>
      </c>
    </row>
    <row r="202" spans="2:4" ht="12.75">
      <c r="B202" s="22" t="s">
        <v>255</v>
      </c>
      <c r="C202" s="22">
        <f>C162</f>
        <v>16</v>
      </c>
      <c r="D202" t="s">
        <v>206</v>
      </c>
    </row>
    <row r="203" spans="2:4" ht="12.75">
      <c r="B203" s="22" t="s">
        <v>270</v>
      </c>
      <c r="C203" s="30" t="str">
        <f>IF(D203=1," 4.6"," 4.8")</f>
        <v> 4.6</v>
      </c>
      <c r="D203" s="1">
        <v>1</v>
      </c>
    </row>
    <row r="204" spans="2:3" ht="12.75">
      <c r="B204" t="s">
        <v>160</v>
      </c>
      <c r="C204">
        <v>3</v>
      </c>
    </row>
    <row r="205" spans="2:4" ht="15.75">
      <c r="B205" s="3" t="s">
        <v>260</v>
      </c>
      <c r="C205">
        <f>IF(C203=" 4.6",80,106)</f>
        <v>80</v>
      </c>
      <c r="D205" t="s">
        <v>11</v>
      </c>
    </row>
    <row r="206" spans="2:4" ht="15.75">
      <c r="B206" s="22" t="s">
        <v>200</v>
      </c>
      <c r="C206" s="22">
        <f>VLOOKUP(RIGHT(LEFT(D178,6),3),Csavar!A2:C8,3)</f>
        <v>25.706</v>
      </c>
      <c r="D206" t="s">
        <v>32</v>
      </c>
    </row>
    <row r="207" spans="2:4" ht="15.75">
      <c r="B207" s="22" t="s">
        <v>271</v>
      </c>
      <c r="C207">
        <f>POWER(C206,2)*PI()/4</f>
        <v>518.9898780103063</v>
      </c>
      <c r="D207" t="s">
        <v>196</v>
      </c>
    </row>
    <row r="208" spans="2:4" ht="15.75">
      <c r="B208" s="3" t="s">
        <v>272</v>
      </c>
      <c r="C208">
        <f>C190/C207</f>
        <v>63.42741000878116</v>
      </c>
      <c r="D208" t="s">
        <v>11</v>
      </c>
    </row>
    <row r="209" spans="2:5" ht="15.75">
      <c r="B209" s="31" t="s">
        <v>273</v>
      </c>
      <c r="C209" s="18" t="str">
        <f>IF(C208&lt;C205,"&lt;","&gt;")</f>
        <v>&lt;</v>
      </c>
      <c r="D209" s="3" t="s">
        <v>274</v>
      </c>
      <c r="E209" t="str">
        <f>IF(C209="&lt;","tehát a csavar megfelel.","leszakad vaze")</f>
        <v>tehát a csavar megfelel.</v>
      </c>
    </row>
    <row r="211" spans="1:2" ht="12.75">
      <c r="A211" t="s">
        <v>395</v>
      </c>
      <c r="B211" s="5" t="s">
        <v>396</v>
      </c>
    </row>
    <row r="212" spans="2:4" ht="15.75">
      <c r="B212" s="3" t="s">
        <v>397</v>
      </c>
      <c r="C212">
        <f>C36*C55</f>
        <v>105</v>
      </c>
      <c r="D212" t="s">
        <v>11</v>
      </c>
    </row>
    <row r="213" spans="2:4" ht="12.75">
      <c r="B213" s="3" t="s">
        <v>398</v>
      </c>
      <c r="C213">
        <f>C9*POWER((G17-2*F60),2)*PI()/4</f>
        <v>1705021.9201170714</v>
      </c>
      <c r="D213" t="s">
        <v>402</v>
      </c>
    </row>
    <row r="214" spans="2:4" ht="15.75">
      <c r="B214" s="3" t="s">
        <v>399</v>
      </c>
      <c r="C214">
        <f>C213/(POWER(G17,2)*PI()/4-POWER((G17-2*F60),2)*PI()/4)</f>
        <v>35.1142167011731</v>
      </c>
      <c r="D214" t="s">
        <v>11</v>
      </c>
    </row>
    <row r="215" spans="2:5" ht="15.75">
      <c r="B215" s="31" t="s">
        <v>400</v>
      </c>
      <c r="C215" s="18" t="str">
        <f>IF(C214&lt;C212,"&lt;","&gt;")</f>
        <v>&lt;</v>
      </c>
      <c r="D215" s="3" t="s">
        <v>401</v>
      </c>
      <c r="E215" t="str">
        <f>IF(C215="&lt;","Tehát a varrat megfelel","Ciki van, varratot kell erősíteni!")</f>
        <v>Tehát a varrat megfelel</v>
      </c>
    </row>
  </sheetData>
  <printOptions/>
  <pageMargins left="0.75" right="0.75" top="1" bottom="1" header="0.5" footer="0.5"/>
  <pageSetup horizontalDpi="600" verticalDpi="600" orientation="portrait" paperSize="9" scale="93" r:id="rId3"/>
  <rowBreaks count="3" manualBreakCount="3">
    <brk id="52" max="7" man="1"/>
    <brk id="107" max="255" man="1"/>
    <brk id="15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9.140625" defaultRowHeight="12.75"/>
  <cols>
    <col min="1" max="4" width="5.7109375" style="0" customWidth="1"/>
    <col min="12" max="12" width="5.7109375" style="0" customWidth="1"/>
  </cols>
  <sheetData>
    <row r="2" spans="1:12" ht="12.75">
      <c r="A2" s="62" t="s">
        <v>41</v>
      </c>
      <c r="B2" s="62"/>
      <c r="C2" s="62"/>
      <c r="D2" s="62"/>
      <c r="E2" s="18">
        <v>4</v>
      </c>
      <c r="F2" s="18">
        <v>5</v>
      </c>
      <c r="G2" s="18">
        <v>6</v>
      </c>
      <c r="H2" s="18">
        <v>8</v>
      </c>
      <c r="I2" s="18">
        <v>10</v>
      </c>
      <c r="J2" s="18">
        <v>12</v>
      </c>
      <c r="K2" s="18">
        <v>14</v>
      </c>
      <c r="L2" s="60" t="s">
        <v>48</v>
      </c>
    </row>
    <row r="3" spans="1:12" ht="12.75" hidden="1">
      <c r="A3" s="18"/>
      <c r="B3" s="18"/>
      <c r="C3" s="18"/>
      <c r="D3" s="18"/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 s="60"/>
    </row>
    <row r="4" spans="1:12" ht="12.75">
      <c r="A4" s="62" t="s">
        <v>42</v>
      </c>
      <c r="B4" s="62"/>
      <c r="C4" s="62"/>
      <c r="D4" s="62"/>
      <c r="E4" s="18">
        <v>35</v>
      </c>
      <c r="F4" s="18">
        <v>35</v>
      </c>
      <c r="G4" s="18">
        <v>45</v>
      </c>
      <c r="H4" s="18">
        <v>55</v>
      </c>
      <c r="I4" s="18">
        <v>55</v>
      </c>
      <c r="J4" s="18">
        <v>65</v>
      </c>
      <c r="K4" s="18">
        <v>65</v>
      </c>
      <c r="L4" s="60"/>
    </row>
    <row r="5" spans="1:12" ht="12.75">
      <c r="A5" s="63" t="s">
        <v>43</v>
      </c>
      <c r="B5" s="63" t="s">
        <v>44</v>
      </c>
      <c r="C5" s="63" t="s">
        <v>45</v>
      </c>
      <c r="D5" s="63" t="s">
        <v>46</v>
      </c>
      <c r="E5" s="61" t="s">
        <v>47</v>
      </c>
      <c r="F5" s="61"/>
      <c r="G5" s="61"/>
      <c r="H5" s="61"/>
      <c r="I5" s="61"/>
      <c r="J5" s="61"/>
      <c r="K5" s="61"/>
      <c r="L5" s="60"/>
    </row>
    <row r="6" spans="1:12" ht="13.5" thickBot="1">
      <c r="A6" s="63"/>
      <c r="B6" s="63"/>
      <c r="C6" s="63"/>
      <c r="D6" s="63"/>
      <c r="E6" s="61" t="s">
        <v>49</v>
      </c>
      <c r="F6" s="61"/>
      <c r="G6" s="61"/>
      <c r="H6" s="61"/>
      <c r="I6" s="61"/>
      <c r="J6" s="61"/>
      <c r="K6" s="61"/>
      <c r="L6" s="60"/>
    </row>
    <row r="7" spans="1:12" ht="12.75">
      <c r="A7">
        <v>500</v>
      </c>
      <c r="B7">
        <v>124</v>
      </c>
      <c r="C7">
        <v>450</v>
      </c>
      <c r="D7">
        <v>87</v>
      </c>
      <c r="E7" s="7">
        <v>11</v>
      </c>
      <c r="F7" s="14">
        <v>13</v>
      </c>
      <c r="G7" s="14">
        <v>17</v>
      </c>
      <c r="H7" s="14">
        <v>23</v>
      </c>
      <c r="I7" s="14">
        <v>29</v>
      </c>
      <c r="J7" s="11">
        <v>36</v>
      </c>
      <c r="L7">
        <v>13</v>
      </c>
    </row>
    <row r="8" spans="1:12" ht="12.75">
      <c r="A8">
        <v>560</v>
      </c>
      <c r="B8">
        <v>139</v>
      </c>
      <c r="C8">
        <v>504</v>
      </c>
      <c r="D8">
        <v>98</v>
      </c>
      <c r="E8" s="8">
        <v>14</v>
      </c>
      <c r="F8" s="15">
        <v>17</v>
      </c>
      <c r="G8" s="15">
        <v>21</v>
      </c>
      <c r="H8" s="15">
        <v>30</v>
      </c>
      <c r="I8" s="15">
        <v>38</v>
      </c>
      <c r="J8" s="12">
        <v>46</v>
      </c>
      <c r="L8">
        <v>19</v>
      </c>
    </row>
    <row r="9" spans="1:12" ht="12.75">
      <c r="A9">
        <v>600</v>
      </c>
      <c r="B9">
        <v>149</v>
      </c>
      <c r="C9">
        <v>540</v>
      </c>
      <c r="D9">
        <v>105</v>
      </c>
      <c r="E9" s="8">
        <v>16</v>
      </c>
      <c r="F9" s="15">
        <v>20</v>
      </c>
      <c r="G9" s="15">
        <v>25</v>
      </c>
      <c r="H9" s="15">
        <v>33</v>
      </c>
      <c r="I9" s="15">
        <v>42</v>
      </c>
      <c r="J9" s="12">
        <v>51</v>
      </c>
      <c r="L9">
        <v>26.7</v>
      </c>
    </row>
    <row r="10" spans="1:12" ht="12.75">
      <c r="A10">
        <v>630</v>
      </c>
      <c r="B10">
        <v>157</v>
      </c>
      <c r="C10">
        <v>567</v>
      </c>
      <c r="D10">
        <v>110</v>
      </c>
      <c r="E10" s="8">
        <v>17</v>
      </c>
      <c r="F10" s="15">
        <v>21</v>
      </c>
      <c r="G10" s="15">
        <v>27</v>
      </c>
      <c r="H10" s="15">
        <v>37</v>
      </c>
      <c r="I10" s="15">
        <v>46</v>
      </c>
      <c r="J10" s="12">
        <v>58</v>
      </c>
      <c r="L10">
        <v>28.9</v>
      </c>
    </row>
    <row r="11" spans="1:12" ht="13.5" thickBot="1">
      <c r="A11">
        <v>700</v>
      </c>
      <c r="B11">
        <v>174</v>
      </c>
      <c r="C11">
        <v>630</v>
      </c>
      <c r="D11">
        <v>122</v>
      </c>
      <c r="E11" s="8">
        <v>21</v>
      </c>
      <c r="F11" s="15">
        <v>26</v>
      </c>
      <c r="G11" s="15">
        <v>32</v>
      </c>
      <c r="H11" s="15">
        <v>44</v>
      </c>
      <c r="I11" s="15">
        <v>55</v>
      </c>
      <c r="J11" s="12">
        <v>67</v>
      </c>
      <c r="L11">
        <v>42</v>
      </c>
    </row>
    <row r="12" spans="1:12" ht="12.75">
      <c r="A12">
        <v>800</v>
      </c>
      <c r="B12">
        <v>200</v>
      </c>
      <c r="C12">
        <v>720</v>
      </c>
      <c r="D12">
        <v>140</v>
      </c>
      <c r="E12" s="8">
        <v>27</v>
      </c>
      <c r="F12">
        <v>34</v>
      </c>
      <c r="G12">
        <v>42</v>
      </c>
      <c r="H12">
        <v>57</v>
      </c>
      <c r="I12">
        <v>73</v>
      </c>
      <c r="J12">
        <v>90</v>
      </c>
      <c r="K12" s="11">
        <v>105</v>
      </c>
      <c r="L12" s="16">
        <v>62.6</v>
      </c>
    </row>
    <row r="13" spans="1:12" ht="13.5" thickBot="1">
      <c r="A13">
        <v>900</v>
      </c>
      <c r="B13">
        <v>225</v>
      </c>
      <c r="C13">
        <v>810</v>
      </c>
      <c r="D13">
        <v>157</v>
      </c>
      <c r="E13" s="9">
        <v>33</v>
      </c>
      <c r="F13">
        <v>41</v>
      </c>
      <c r="G13">
        <v>51</v>
      </c>
      <c r="H13">
        <v>70</v>
      </c>
      <c r="I13">
        <v>87</v>
      </c>
      <c r="J13">
        <v>107</v>
      </c>
      <c r="K13" s="12">
        <v>124</v>
      </c>
      <c r="L13" s="16">
        <v>89.5</v>
      </c>
    </row>
    <row r="14" spans="1:12" ht="12.75">
      <c r="A14">
        <v>1000</v>
      </c>
      <c r="B14">
        <v>249</v>
      </c>
      <c r="C14">
        <v>900</v>
      </c>
      <c r="D14">
        <v>175</v>
      </c>
      <c r="F14" s="8">
        <v>49</v>
      </c>
      <c r="G14">
        <v>61</v>
      </c>
      <c r="H14">
        <v>84</v>
      </c>
      <c r="I14">
        <v>104</v>
      </c>
      <c r="J14">
        <v>131</v>
      </c>
      <c r="K14" s="12">
        <v>153</v>
      </c>
      <c r="L14" s="16">
        <v>121.5</v>
      </c>
    </row>
    <row r="15" spans="1:12" ht="13.5" thickBot="1">
      <c r="A15">
        <v>1100</v>
      </c>
      <c r="B15">
        <v>274</v>
      </c>
      <c r="C15">
        <v>990</v>
      </c>
      <c r="D15">
        <v>193</v>
      </c>
      <c r="F15" s="9">
        <v>61</v>
      </c>
      <c r="G15">
        <v>75</v>
      </c>
      <c r="H15">
        <v>101</v>
      </c>
      <c r="I15">
        <v>126</v>
      </c>
      <c r="J15">
        <v>156</v>
      </c>
      <c r="K15" s="12">
        <v>182</v>
      </c>
      <c r="L15" s="16">
        <v>163.5</v>
      </c>
    </row>
    <row r="16" spans="1:12" ht="12.75">
      <c r="A16">
        <v>1200</v>
      </c>
      <c r="B16">
        <v>300</v>
      </c>
      <c r="C16">
        <v>1080</v>
      </c>
      <c r="D16">
        <v>210</v>
      </c>
      <c r="G16" s="8">
        <v>88</v>
      </c>
      <c r="H16">
        <v>118</v>
      </c>
      <c r="I16">
        <v>148</v>
      </c>
      <c r="J16">
        <v>182</v>
      </c>
      <c r="K16" s="12">
        <v>213</v>
      </c>
      <c r="L16" s="16">
        <v>209</v>
      </c>
    </row>
    <row r="17" spans="1:12" ht="12.75">
      <c r="A17">
        <v>1300</v>
      </c>
      <c r="B17">
        <v>325</v>
      </c>
      <c r="C17">
        <v>1170</v>
      </c>
      <c r="D17">
        <v>227</v>
      </c>
      <c r="G17" s="8">
        <v>102</v>
      </c>
      <c r="H17">
        <v>138</v>
      </c>
      <c r="I17">
        <v>172</v>
      </c>
      <c r="J17">
        <v>211</v>
      </c>
      <c r="K17" s="12">
        <v>246</v>
      </c>
      <c r="L17" s="16">
        <v>269</v>
      </c>
    </row>
    <row r="18" spans="1:12" ht="13.5" thickBot="1">
      <c r="A18">
        <v>1400</v>
      </c>
      <c r="B18">
        <v>350</v>
      </c>
      <c r="C18">
        <v>1260</v>
      </c>
      <c r="D18">
        <v>245</v>
      </c>
      <c r="G18" s="9">
        <v>117</v>
      </c>
      <c r="H18">
        <v>198</v>
      </c>
      <c r="I18">
        <v>240</v>
      </c>
      <c r="J18">
        <v>240</v>
      </c>
      <c r="K18" s="12">
        <v>280</v>
      </c>
      <c r="L18" s="16">
        <v>336</v>
      </c>
    </row>
    <row r="19" spans="1:12" ht="13.5" thickBot="1">
      <c r="A19">
        <v>1500</v>
      </c>
      <c r="B19">
        <v>374</v>
      </c>
      <c r="C19">
        <v>1350</v>
      </c>
      <c r="D19">
        <v>262</v>
      </c>
      <c r="H19" s="9">
        <v>180</v>
      </c>
      <c r="I19" s="10">
        <v>225</v>
      </c>
      <c r="J19" s="10">
        <v>273</v>
      </c>
      <c r="K19" s="13">
        <v>319</v>
      </c>
      <c r="L19" s="16">
        <v>416</v>
      </c>
    </row>
  </sheetData>
  <mergeCells count="9">
    <mergeCell ref="L2:L6"/>
    <mergeCell ref="E5:K5"/>
    <mergeCell ref="E6:K6"/>
    <mergeCell ref="A2:D2"/>
    <mergeCell ref="A4:D4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G6" sqref="G6"/>
    </sheetView>
  </sheetViews>
  <sheetFormatPr defaultColWidth="9.140625" defaultRowHeight="12.75"/>
  <cols>
    <col min="1" max="1" width="2.00390625" style="0" bestFit="1" customWidth="1"/>
    <col min="3" max="3" width="9.8515625" style="0" customWidth="1"/>
  </cols>
  <sheetData>
    <row r="1" spans="2:7" ht="27" customHeight="1">
      <c r="B1" s="60" t="s">
        <v>50</v>
      </c>
      <c r="C1" s="64" t="s">
        <v>55</v>
      </c>
      <c r="D1" s="65" t="s">
        <v>56</v>
      </c>
      <c r="E1" s="65"/>
      <c r="F1" s="65"/>
      <c r="G1" s="65"/>
    </row>
    <row r="2" spans="2:7" ht="14.25">
      <c r="B2" s="60"/>
      <c r="C2" s="64"/>
      <c r="D2" t="s">
        <v>51</v>
      </c>
      <c r="E2" t="s">
        <v>52</v>
      </c>
      <c r="F2" t="s">
        <v>53</v>
      </c>
      <c r="G2" t="s">
        <v>54</v>
      </c>
    </row>
    <row r="3" spans="1:7" ht="12.75">
      <c r="A3">
        <v>1</v>
      </c>
      <c r="B3" t="s">
        <v>57</v>
      </c>
      <c r="C3" t="s">
        <v>61</v>
      </c>
      <c r="D3">
        <v>225</v>
      </c>
      <c r="E3">
        <v>170</v>
      </c>
      <c r="F3">
        <v>130</v>
      </c>
      <c r="G3">
        <v>110</v>
      </c>
    </row>
    <row r="4" spans="1:7" ht="12.75">
      <c r="A4">
        <v>2</v>
      </c>
      <c r="B4" t="s">
        <v>58</v>
      </c>
      <c r="C4" t="s">
        <v>63</v>
      </c>
      <c r="D4">
        <v>255</v>
      </c>
      <c r="E4">
        <v>195</v>
      </c>
      <c r="F4">
        <v>155</v>
      </c>
      <c r="G4">
        <v>130</v>
      </c>
    </row>
    <row r="5" spans="1:7" ht="12.75">
      <c r="A5">
        <v>3</v>
      </c>
      <c r="B5" t="s">
        <v>59</v>
      </c>
      <c r="C5" t="s">
        <v>62</v>
      </c>
      <c r="D5">
        <v>290</v>
      </c>
      <c r="E5">
        <v>225</v>
      </c>
      <c r="F5">
        <v>185</v>
      </c>
      <c r="G5">
        <v>155</v>
      </c>
    </row>
    <row r="6" spans="1:7" ht="12.75">
      <c r="A6">
        <v>4</v>
      </c>
      <c r="B6" t="s">
        <v>60</v>
      </c>
      <c r="C6">
        <v>650</v>
      </c>
      <c r="D6">
        <v>345</v>
      </c>
      <c r="E6">
        <v>235</v>
      </c>
      <c r="F6">
        <v>215</v>
      </c>
      <c r="G6">
        <v>180</v>
      </c>
    </row>
  </sheetData>
  <mergeCells count="3">
    <mergeCell ref="B1:B2"/>
    <mergeCell ref="C1:C2"/>
    <mergeCell ref="D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7"/>
  <sheetViews>
    <sheetView workbookViewId="0" topLeftCell="A1">
      <selection activeCell="F29" sqref="F29"/>
    </sheetView>
  </sheetViews>
  <sheetFormatPr defaultColWidth="9.140625" defaultRowHeight="12.75"/>
  <cols>
    <col min="2" max="2" width="13.7109375" style="0" customWidth="1"/>
    <col min="3" max="3" width="10.8515625" style="0" customWidth="1"/>
    <col min="4" max="4" width="21.140625" style="18" customWidth="1"/>
  </cols>
  <sheetData>
    <row r="1" spans="1:4" s="17" customFormat="1" ht="41.25">
      <c r="A1" s="17" t="s">
        <v>141</v>
      </c>
      <c r="B1" s="17" t="s">
        <v>143</v>
      </c>
      <c r="C1" s="17" t="s">
        <v>142</v>
      </c>
      <c r="D1" s="17" t="s">
        <v>157</v>
      </c>
    </row>
    <row r="2" spans="1:7" ht="12.75">
      <c r="A2">
        <v>15</v>
      </c>
      <c r="B2">
        <v>20</v>
      </c>
      <c r="C2">
        <v>2</v>
      </c>
      <c r="D2" s="24" t="s">
        <v>144</v>
      </c>
      <c r="F2">
        <v>15</v>
      </c>
      <c r="G2">
        <v>15</v>
      </c>
    </row>
    <row r="3" spans="1:7" ht="12.75">
      <c r="A3">
        <v>20</v>
      </c>
      <c r="B3">
        <v>25</v>
      </c>
      <c r="C3">
        <v>2.3</v>
      </c>
      <c r="D3" s="24" t="s">
        <v>145</v>
      </c>
      <c r="F3">
        <v>16</v>
      </c>
      <c r="G3">
        <v>15</v>
      </c>
    </row>
    <row r="4" spans="1:7" ht="12.75">
      <c r="A4">
        <v>25</v>
      </c>
      <c r="B4">
        <v>30</v>
      </c>
      <c r="C4">
        <v>2.6</v>
      </c>
      <c r="D4" s="24" t="s">
        <v>146</v>
      </c>
      <c r="F4">
        <v>17</v>
      </c>
      <c r="G4">
        <v>20</v>
      </c>
    </row>
    <row r="5" spans="1:7" ht="12.75">
      <c r="A5">
        <v>32</v>
      </c>
      <c r="B5">
        <v>38</v>
      </c>
      <c r="C5">
        <v>2.6</v>
      </c>
      <c r="D5" s="24" t="s">
        <v>147</v>
      </c>
      <c r="F5">
        <v>18</v>
      </c>
      <c r="G5">
        <v>20</v>
      </c>
    </row>
    <row r="6" spans="1:7" ht="12.75">
      <c r="A6">
        <v>40</v>
      </c>
      <c r="B6">
        <v>44.5</v>
      </c>
      <c r="C6">
        <v>2.6</v>
      </c>
      <c r="D6" s="24" t="s">
        <v>148</v>
      </c>
      <c r="F6">
        <v>19</v>
      </c>
      <c r="G6">
        <v>20</v>
      </c>
    </row>
    <row r="7" spans="1:7" ht="12.75">
      <c r="A7">
        <v>50</v>
      </c>
      <c r="B7">
        <v>57</v>
      </c>
      <c r="C7">
        <v>2.9</v>
      </c>
      <c r="D7" s="24" t="s">
        <v>149</v>
      </c>
      <c r="F7">
        <v>20</v>
      </c>
      <c r="G7">
        <v>20</v>
      </c>
    </row>
    <row r="8" spans="1:7" ht="12.75">
      <c r="A8">
        <v>65</v>
      </c>
      <c r="B8">
        <v>76</v>
      </c>
      <c r="C8">
        <v>2.9</v>
      </c>
      <c r="D8" s="24" t="s">
        <v>150</v>
      </c>
      <c r="F8">
        <v>21</v>
      </c>
      <c r="G8">
        <v>20</v>
      </c>
    </row>
    <row r="9" spans="1:7" ht="12.75">
      <c r="A9">
        <v>80</v>
      </c>
      <c r="B9">
        <v>89</v>
      </c>
      <c r="C9">
        <v>3.2</v>
      </c>
      <c r="D9" s="24" t="s">
        <v>151</v>
      </c>
      <c r="F9">
        <v>22</v>
      </c>
      <c r="G9">
        <v>25</v>
      </c>
    </row>
    <row r="10" spans="1:7" ht="12.75">
      <c r="A10">
        <v>100</v>
      </c>
      <c r="B10">
        <v>108</v>
      </c>
      <c r="C10">
        <v>3.6</v>
      </c>
      <c r="D10" s="24" t="s">
        <v>155</v>
      </c>
      <c r="F10">
        <v>23</v>
      </c>
      <c r="G10">
        <v>25</v>
      </c>
    </row>
    <row r="11" spans="1:7" ht="12.75">
      <c r="A11">
        <v>125</v>
      </c>
      <c r="B11">
        <v>133</v>
      </c>
      <c r="C11">
        <v>4</v>
      </c>
      <c r="D11" s="24" t="s">
        <v>152</v>
      </c>
      <c r="F11">
        <v>24</v>
      </c>
      <c r="G11">
        <v>25</v>
      </c>
    </row>
    <row r="12" spans="1:7" ht="12.75">
      <c r="A12">
        <v>150</v>
      </c>
      <c r="B12">
        <v>159</v>
      </c>
      <c r="C12">
        <v>4.5</v>
      </c>
      <c r="D12" s="24" t="s">
        <v>156</v>
      </c>
      <c r="F12">
        <v>25</v>
      </c>
      <c r="G12">
        <v>25</v>
      </c>
    </row>
    <row r="13" spans="1:7" ht="12.75">
      <c r="A13">
        <v>175</v>
      </c>
      <c r="B13">
        <v>194</v>
      </c>
      <c r="C13">
        <v>5.6</v>
      </c>
      <c r="D13" s="24" t="s">
        <v>153</v>
      </c>
      <c r="F13">
        <v>26</v>
      </c>
      <c r="G13">
        <v>32</v>
      </c>
    </row>
    <row r="14" spans="1:7" ht="12.75">
      <c r="A14">
        <v>200</v>
      </c>
      <c r="B14">
        <v>219</v>
      </c>
      <c r="C14">
        <v>6.3</v>
      </c>
      <c r="D14" s="24" t="s">
        <v>154</v>
      </c>
      <c r="F14">
        <v>27</v>
      </c>
      <c r="G14">
        <v>32</v>
      </c>
    </row>
    <row r="15" spans="6:7" ht="12.75">
      <c r="F15">
        <v>28</v>
      </c>
      <c r="G15">
        <v>32</v>
      </c>
    </row>
    <row r="16" spans="6:7" ht="12.75">
      <c r="F16">
        <v>29</v>
      </c>
      <c r="G16">
        <v>32</v>
      </c>
    </row>
    <row r="17" spans="6:7" ht="12.75">
      <c r="F17">
        <v>30</v>
      </c>
      <c r="G17">
        <v>32</v>
      </c>
    </row>
    <row r="18" spans="6:7" ht="12.75">
      <c r="F18">
        <v>31</v>
      </c>
      <c r="G18">
        <v>32</v>
      </c>
    </row>
    <row r="19" spans="6:7" ht="12.75">
      <c r="F19">
        <v>32</v>
      </c>
      <c r="G19">
        <v>32</v>
      </c>
    </row>
    <row r="20" spans="6:7" ht="12.75">
      <c r="F20">
        <v>33</v>
      </c>
      <c r="G20">
        <v>32</v>
      </c>
    </row>
    <row r="21" spans="6:7" ht="12.75">
      <c r="F21">
        <v>34</v>
      </c>
      <c r="G21">
        <v>40</v>
      </c>
    </row>
    <row r="22" spans="6:7" ht="12.75">
      <c r="F22">
        <v>35</v>
      </c>
      <c r="G22">
        <v>40</v>
      </c>
    </row>
    <row r="23" spans="6:7" ht="12.75">
      <c r="F23">
        <v>36</v>
      </c>
      <c r="G23">
        <v>40</v>
      </c>
    </row>
    <row r="24" spans="6:7" ht="12.75">
      <c r="F24">
        <v>37</v>
      </c>
      <c r="G24">
        <v>40</v>
      </c>
    </row>
    <row r="25" spans="6:7" ht="12.75">
      <c r="F25">
        <v>38</v>
      </c>
      <c r="G25">
        <v>40</v>
      </c>
    </row>
    <row r="26" spans="6:7" ht="12.75">
      <c r="F26">
        <v>39</v>
      </c>
      <c r="G26">
        <v>40</v>
      </c>
    </row>
    <row r="27" spans="6:7" ht="12.75">
      <c r="F27">
        <v>40</v>
      </c>
      <c r="G27">
        <v>40</v>
      </c>
    </row>
    <row r="28" spans="6:7" ht="12.75">
      <c r="F28">
        <v>41</v>
      </c>
      <c r="G28">
        <v>50</v>
      </c>
    </row>
    <row r="29" spans="6:7" ht="12.75">
      <c r="F29">
        <v>42</v>
      </c>
      <c r="G29">
        <v>50</v>
      </c>
    </row>
    <row r="30" spans="6:7" ht="12.75">
      <c r="F30">
        <v>43</v>
      </c>
      <c r="G30">
        <v>50</v>
      </c>
    </row>
    <row r="31" spans="6:7" ht="12.75">
      <c r="F31">
        <v>44</v>
      </c>
      <c r="G31">
        <v>50</v>
      </c>
    </row>
    <row r="32" spans="6:7" ht="12.75">
      <c r="F32">
        <v>45</v>
      </c>
      <c r="G32">
        <v>50</v>
      </c>
    </row>
    <row r="33" spans="6:7" ht="12.75">
      <c r="F33">
        <v>46</v>
      </c>
      <c r="G33">
        <v>50</v>
      </c>
    </row>
    <row r="34" spans="6:7" ht="12.75">
      <c r="F34">
        <v>47</v>
      </c>
      <c r="G34">
        <v>50</v>
      </c>
    </row>
    <row r="35" spans="6:7" ht="12.75">
      <c r="F35">
        <v>48</v>
      </c>
      <c r="G35">
        <v>50</v>
      </c>
    </row>
    <row r="36" spans="6:7" ht="12.75">
      <c r="F36">
        <v>49</v>
      </c>
      <c r="G36">
        <v>50</v>
      </c>
    </row>
    <row r="37" spans="6:7" ht="12.75">
      <c r="F37">
        <v>50</v>
      </c>
      <c r="G37">
        <v>50</v>
      </c>
    </row>
    <row r="38" spans="6:7" ht="12.75">
      <c r="F38">
        <v>51</v>
      </c>
      <c r="G38">
        <v>50</v>
      </c>
    </row>
    <row r="39" spans="6:7" ht="12.75">
      <c r="F39">
        <v>52</v>
      </c>
      <c r="G39">
        <v>65</v>
      </c>
    </row>
    <row r="40" spans="6:7" ht="12.75">
      <c r="F40">
        <v>53</v>
      </c>
      <c r="G40">
        <v>65</v>
      </c>
    </row>
    <row r="41" spans="6:7" ht="12.75">
      <c r="F41">
        <v>54</v>
      </c>
      <c r="G41">
        <v>65</v>
      </c>
    </row>
    <row r="42" spans="6:7" ht="12.75">
      <c r="F42">
        <v>55</v>
      </c>
      <c r="G42">
        <v>65</v>
      </c>
    </row>
    <row r="43" spans="6:7" ht="12.75">
      <c r="F43">
        <v>56</v>
      </c>
      <c r="G43">
        <v>65</v>
      </c>
    </row>
    <row r="44" spans="6:7" ht="12.75">
      <c r="F44">
        <v>57</v>
      </c>
      <c r="G44">
        <v>65</v>
      </c>
    </row>
    <row r="45" spans="6:7" ht="12.75">
      <c r="F45">
        <v>58</v>
      </c>
      <c r="G45">
        <v>65</v>
      </c>
    </row>
    <row r="46" spans="6:7" ht="12.75">
      <c r="F46">
        <v>59</v>
      </c>
      <c r="G46">
        <v>65</v>
      </c>
    </row>
    <row r="47" spans="6:7" ht="12.75">
      <c r="F47">
        <v>60</v>
      </c>
      <c r="G47">
        <v>65</v>
      </c>
    </row>
    <row r="48" spans="6:7" ht="12.75">
      <c r="F48">
        <v>61</v>
      </c>
      <c r="G48">
        <v>65</v>
      </c>
    </row>
    <row r="49" spans="6:7" ht="12.75">
      <c r="F49">
        <v>62</v>
      </c>
      <c r="G49">
        <v>65</v>
      </c>
    </row>
    <row r="50" spans="6:7" ht="12.75">
      <c r="F50">
        <v>63</v>
      </c>
      <c r="G50">
        <v>65</v>
      </c>
    </row>
    <row r="51" spans="6:7" ht="12.75">
      <c r="F51">
        <v>64</v>
      </c>
      <c r="G51">
        <v>65</v>
      </c>
    </row>
    <row r="52" spans="6:7" ht="12.75">
      <c r="F52">
        <v>65</v>
      </c>
      <c r="G52">
        <v>65</v>
      </c>
    </row>
    <row r="53" spans="6:7" ht="12.75">
      <c r="F53">
        <v>66</v>
      </c>
      <c r="G53">
        <v>65</v>
      </c>
    </row>
    <row r="54" spans="6:7" ht="12.75">
      <c r="F54">
        <v>67</v>
      </c>
      <c r="G54">
        <v>65</v>
      </c>
    </row>
    <row r="55" spans="6:7" ht="12.75">
      <c r="F55">
        <v>68</v>
      </c>
      <c r="G55">
        <v>65</v>
      </c>
    </row>
    <row r="56" spans="6:7" ht="12.75">
      <c r="F56">
        <v>69</v>
      </c>
      <c r="G56">
        <v>65</v>
      </c>
    </row>
    <row r="57" spans="6:7" ht="12.75">
      <c r="F57">
        <v>70</v>
      </c>
      <c r="G57">
        <v>65</v>
      </c>
    </row>
    <row r="58" spans="6:7" ht="12.75">
      <c r="F58">
        <v>71</v>
      </c>
      <c r="G58">
        <v>80</v>
      </c>
    </row>
    <row r="59" spans="6:7" ht="12.75">
      <c r="F59">
        <v>72</v>
      </c>
      <c r="G59">
        <v>80</v>
      </c>
    </row>
    <row r="60" spans="6:7" ht="12.75">
      <c r="F60">
        <v>73</v>
      </c>
      <c r="G60">
        <v>80</v>
      </c>
    </row>
    <row r="61" spans="6:7" ht="12.75">
      <c r="F61">
        <v>74</v>
      </c>
      <c r="G61">
        <v>80</v>
      </c>
    </row>
    <row r="62" spans="6:7" ht="12.75">
      <c r="F62">
        <v>75</v>
      </c>
      <c r="G62">
        <v>80</v>
      </c>
    </row>
    <row r="63" spans="6:7" ht="12.75">
      <c r="F63">
        <v>76</v>
      </c>
      <c r="G63">
        <v>80</v>
      </c>
    </row>
    <row r="64" spans="6:7" ht="12.75">
      <c r="F64">
        <v>77</v>
      </c>
      <c r="G64">
        <v>80</v>
      </c>
    </row>
    <row r="65" spans="6:7" ht="12.75">
      <c r="F65">
        <v>78</v>
      </c>
      <c r="G65">
        <v>80</v>
      </c>
    </row>
    <row r="66" spans="6:7" ht="12.75">
      <c r="F66">
        <v>79</v>
      </c>
      <c r="G66">
        <v>80</v>
      </c>
    </row>
    <row r="67" spans="6:7" ht="12.75">
      <c r="F67">
        <v>80</v>
      </c>
      <c r="G67">
        <v>80</v>
      </c>
    </row>
    <row r="68" spans="6:7" ht="12.75">
      <c r="F68">
        <v>81</v>
      </c>
      <c r="G68">
        <v>80</v>
      </c>
    </row>
    <row r="69" spans="6:7" ht="12.75">
      <c r="F69">
        <v>82</v>
      </c>
      <c r="G69">
        <v>80</v>
      </c>
    </row>
    <row r="70" spans="6:7" ht="12.75">
      <c r="F70">
        <v>83</v>
      </c>
      <c r="G70">
        <v>80</v>
      </c>
    </row>
    <row r="71" spans="6:7" ht="12.75">
      <c r="F71">
        <v>84</v>
      </c>
      <c r="G71">
        <v>100</v>
      </c>
    </row>
    <row r="72" spans="6:7" ht="12.75">
      <c r="F72">
        <v>85</v>
      </c>
      <c r="G72">
        <v>100</v>
      </c>
    </row>
    <row r="73" spans="6:7" ht="12.75">
      <c r="F73">
        <v>86</v>
      </c>
      <c r="G73">
        <v>100</v>
      </c>
    </row>
    <row r="74" spans="6:7" ht="12.75">
      <c r="F74">
        <v>87</v>
      </c>
      <c r="G74">
        <v>100</v>
      </c>
    </row>
    <row r="75" spans="6:7" ht="12.75">
      <c r="F75">
        <v>88</v>
      </c>
      <c r="G75">
        <v>100</v>
      </c>
    </row>
    <row r="76" spans="6:7" ht="12.75">
      <c r="F76">
        <v>89</v>
      </c>
      <c r="G76">
        <v>100</v>
      </c>
    </row>
    <row r="77" spans="6:7" ht="12.75">
      <c r="F77">
        <v>90</v>
      </c>
      <c r="G77">
        <v>100</v>
      </c>
    </row>
    <row r="78" spans="6:7" ht="12.75">
      <c r="F78">
        <v>91</v>
      </c>
      <c r="G78">
        <v>100</v>
      </c>
    </row>
    <row r="79" spans="6:7" ht="12.75">
      <c r="F79">
        <v>92</v>
      </c>
      <c r="G79">
        <v>100</v>
      </c>
    </row>
    <row r="80" spans="6:7" ht="12.75">
      <c r="F80">
        <v>93</v>
      </c>
      <c r="G80">
        <v>100</v>
      </c>
    </row>
    <row r="81" spans="6:7" ht="12.75">
      <c r="F81">
        <v>94</v>
      </c>
      <c r="G81">
        <v>100</v>
      </c>
    </row>
    <row r="82" spans="6:7" ht="12.75">
      <c r="F82">
        <v>95</v>
      </c>
      <c r="G82">
        <v>100</v>
      </c>
    </row>
    <row r="83" spans="6:7" ht="12.75">
      <c r="F83">
        <v>96</v>
      </c>
      <c r="G83">
        <v>100</v>
      </c>
    </row>
    <row r="84" spans="6:7" ht="12.75">
      <c r="F84">
        <v>97</v>
      </c>
      <c r="G84">
        <v>100</v>
      </c>
    </row>
    <row r="85" spans="6:7" ht="12.75">
      <c r="F85">
        <v>98</v>
      </c>
      <c r="G85">
        <v>100</v>
      </c>
    </row>
    <row r="86" spans="6:7" ht="12.75">
      <c r="F86">
        <v>99</v>
      </c>
      <c r="G86">
        <v>100</v>
      </c>
    </row>
    <row r="87" spans="6:7" ht="12.75">
      <c r="F87">
        <v>100</v>
      </c>
      <c r="G87">
        <v>100</v>
      </c>
    </row>
    <row r="88" spans="6:7" ht="12.75">
      <c r="F88">
        <v>101</v>
      </c>
      <c r="G88">
        <v>100</v>
      </c>
    </row>
    <row r="89" spans="6:7" ht="12.75">
      <c r="F89">
        <v>102</v>
      </c>
      <c r="G89">
        <v>125</v>
      </c>
    </row>
    <row r="90" spans="6:7" ht="12.75">
      <c r="F90">
        <v>103</v>
      </c>
      <c r="G90">
        <v>125</v>
      </c>
    </row>
    <row r="91" spans="6:7" ht="12.75">
      <c r="F91">
        <v>104</v>
      </c>
      <c r="G91">
        <v>125</v>
      </c>
    </row>
    <row r="92" spans="6:7" ht="12.75">
      <c r="F92">
        <v>105</v>
      </c>
      <c r="G92">
        <v>125</v>
      </c>
    </row>
    <row r="93" spans="6:7" ht="12.75">
      <c r="F93">
        <v>106</v>
      </c>
      <c r="G93">
        <v>125</v>
      </c>
    </row>
    <row r="94" spans="6:7" ht="12.75">
      <c r="F94">
        <v>107</v>
      </c>
      <c r="G94">
        <v>125</v>
      </c>
    </row>
    <row r="95" spans="6:7" ht="12.75">
      <c r="F95">
        <v>108</v>
      </c>
      <c r="G95">
        <v>125</v>
      </c>
    </row>
    <row r="96" spans="6:7" ht="12.75">
      <c r="F96">
        <v>109</v>
      </c>
      <c r="G96">
        <v>125</v>
      </c>
    </row>
    <row r="97" spans="6:7" ht="12.75">
      <c r="F97">
        <v>110</v>
      </c>
      <c r="G97">
        <v>125</v>
      </c>
    </row>
    <row r="98" spans="6:7" ht="12.75">
      <c r="F98">
        <v>111</v>
      </c>
      <c r="G98">
        <v>125</v>
      </c>
    </row>
    <row r="99" spans="6:7" ht="12.75">
      <c r="F99">
        <v>112</v>
      </c>
      <c r="G99">
        <v>125</v>
      </c>
    </row>
    <row r="100" spans="6:7" ht="12.75">
      <c r="F100">
        <v>113</v>
      </c>
      <c r="G100">
        <v>125</v>
      </c>
    </row>
    <row r="101" spans="6:7" ht="12.75">
      <c r="F101">
        <v>114</v>
      </c>
      <c r="G101">
        <v>125</v>
      </c>
    </row>
    <row r="102" spans="6:7" ht="12.75">
      <c r="F102">
        <v>115</v>
      </c>
      <c r="G102">
        <v>125</v>
      </c>
    </row>
    <row r="103" spans="6:7" ht="12.75">
      <c r="F103">
        <v>116</v>
      </c>
      <c r="G103">
        <v>125</v>
      </c>
    </row>
    <row r="104" spans="6:7" ht="12.75">
      <c r="F104">
        <v>117</v>
      </c>
      <c r="G104">
        <v>125</v>
      </c>
    </row>
    <row r="105" spans="6:7" ht="12.75">
      <c r="F105">
        <v>118</v>
      </c>
      <c r="G105">
        <v>125</v>
      </c>
    </row>
    <row r="106" spans="6:7" ht="12.75">
      <c r="F106">
        <v>119</v>
      </c>
      <c r="G106">
        <v>125</v>
      </c>
    </row>
    <row r="107" spans="6:7" ht="12.75">
      <c r="F107">
        <v>120</v>
      </c>
      <c r="G107">
        <v>125</v>
      </c>
    </row>
    <row r="108" spans="6:7" ht="12.75">
      <c r="F108">
        <v>121</v>
      </c>
      <c r="G108">
        <v>125</v>
      </c>
    </row>
    <row r="109" spans="6:7" ht="12.75">
      <c r="F109">
        <v>122</v>
      </c>
      <c r="G109">
        <v>125</v>
      </c>
    </row>
    <row r="110" spans="6:7" ht="12.75">
      <c r="F110">
        <v>123</v>
      </c>
      <c r="G110">
        <v>125</v>
      </c>
    </row>
    <row r="111" spans="6:7" ht="12.75">
      <c r="F111">
        <v>124</v>
      </c>
      <c r="G111">
        <v>125</v>
      </c>
    </row>
    <row r="112" spans="6:7" ht="12.75">
      <c r="F112">
        <v>125</v>
      </c>
      <c r="G112">
        <v>125</v>
      </c>
    </row>
    <row r="113" spans="6:7" ht="12.75">
      <c r="F113">
        <v>126</v>
      </c>
      <c r="G113">
        <v>150</v>
      </c>
    </row>
    <row r="114" spans="6:7" ht="12.75">
      <c r="F114">
        <v>127</v>
      </c>
      <c r="G114">
        <v>150</v>
      </c>
    </row>
    <row r="115" spans="6:7" ht="12.75">
      <c r="F115">
        <v>128</v>
      </c>
      <c r="G115">
        <v>150</v>
      </c>
    </row>
    <row r="116" spans="6:7" ht="12.75">
      <c r="F116">
        <v>129</v>
      </c>
      <c r="G116">
        <v>150</v>
      </c>
    </row>
    <row r="117" spans="6:7" ht="12.75">
      <c r="F117">
        <v>130</v>
      </c>
      <c r="G117">
        <v>150</v>
      </c>
    </row>
    <row r="118" spans="6:7" ht="12.75">
      <c r="F118">
        <v>131</v>
      </c>
      <c r="G118">
        <v>150</v>
      </c>
    </row>
    <row r="119" spans="6:7" ht="12.75">
      <c r="F119">
        <v>132</v>
      </c>
      <c r="G119">
        <v>150</v>
      </c>
    </row>
    <row r="120" spans="6:7" ht="12.75">
      <c r="F120">
        <v>133</v>
      </c>
      <c r="G120">
        <v>150</v>
      </c>
    </row>
    <row r="121" spans="6:7" ht="12.75">
      <c r="F121">
        <v>134</v>
      </c>
      <c r="G121">
        <v>150</v>
      </c>
    </row>
    <row r="122" spans="6:7" ht="12.75">
      <c r="F122">
        <v>135</v>
      </c>
      <c r="G122">
        <v>150</v>
      </c>
    </row>
    <row r="123" spans="6:7" ht="12.75">
      <c r="F123">
        <v>136</v>
      </c>
      <c r="G123">
        <v>150</v>
      </c>
    </row>
    <row r="124" spans="6:7" ht="12.75">
      <c r="F124">
        <v>137</v>
      </c>
      <c r="G124">
        <v>150</v>
      </c>
    </row>
    <row r="125" spans="6:7" ht="12.75">
      <c r="F125">
        <v>138</v>
      </c>
      <c r="G125">
        <v>150</v>
      </c>
    </row>
    <row r="126" spans="6:7" ht="12.75">
      <c r="F126">
        <v>139</v>
      </c>
      <c r="G126">
        <v>150</v>
      </c>
    </row>
    <row r="127" spans="6:7" ht="12.75">
      <c r="F127">
        <v>140</v>
      </c>
      <c r="G127">
        <v>150</v>
      </c>
    </row>
    <row r="128" spans="6:7" ht="12.75">
      <c r="F128">
        <v>141</v>
      </c>
      <c r="G128">
        <v>150</v>
      </c>
    </row>
    <row r="129" spans="6:7" ht="12.75">
      <c r="F129">
        <v>142</v>
      </c>
      <c r="G129">
        <v>150</v>
      </c>
    </row>
    <row r="130" spans="6:7" ht="12.75">
      <c r="F130">
        <v>143</v>
      </c>
      <c r="G130">
        <v>150</v>
      </c>
    </row>
    <row r="131" spans="6:7" ht="12.75">
      <c r="F131">
        <v>144</v>
      </c>
      <c r="G131">
        <v>150</v>
      </c>
    </row>
    <row r="132" spans="6:7" ht="12.75">
      <c r="F132">
        <v>145</v>
      </c>
      <c r="G132">
        <v>150</v>
      </c>
    </row>
    <row r="133" spans="6:7" ht="12.75">
      <c r="F133">
        <v>146</v>
      </c>
      <c r="G133">
        <v>150</v>
      </c>
    </row>
    <row r="134" spans="6:7" ht="12.75">
      <c r="F134">
        <v>147</v>
      </c>
      <c r="G134">
        <v>150</v>
      </c>
    </row>
    <row r="135" spans="6:7" ht="12.75">
      <c r="F135">
        <v>148</v>
      </c>
      <c r="G135">
        <v>150</v>
      </c>
    </row>
    <row r="136" spans="6:7" ht="12.75">
      <c r="F136">
        <v>149</v>
      </c>
      <c r="G136">
        <v>150</v>
      </c>
    </row>
    <row r="137" spans="6:7" ht="12.75">
      <c r="F137">
        <v>150</v>
      </c>
      <c r="G137">
        <v>150</v>
      </c>
    </row>
    <row r="138" spans="6:7" ht="12.75">
      <c r="F138">
        <v>151</v>
      </c>
      <c r="G138">
        <v>175</v>
      </c>
    </row>
    <row r="139" spans="6:7" ht="12.75">
      <c r="F139">
        <v>152</v>
      </c>
      <c r="G139">
        <v>175</v>
      </c>
    </row>
    <row r="140" spans="6:7" ht="12.75">
      <c r="F140">
        <v>153</v>
      </c>
      <c r="G140">
        <v>175</v>
      </c>
    </row>
    <row r="141" spans="6:7" ht="12.75">
      <c r="F141">
        <v>154</v>
      </c>
      <c r="G141">
        <v>175</v>
      </c>
    </row>
    <row r="142" spans="6:7" ht="12.75">
      <c r="F142">
        <v>155</v>
      </c>
      <c r="G142">
        <v>175</v>
      </c>
    </row>
    <row r="143" spans="6:7" ht="12.75">
      <c r="F143">
        <v>156</v>
      </c>
      <c r="G143">
        <v>175</v>
      </c>
    </row>
    <row r="144" spans="6:7" ht="12.75">
      <c r="F144">
        <v>157</v>
      </c>
      <c r="G144">
        <v>175</v>
      </c>
    </row>
    <row r="145" spans="6:7" ht="12.75">
      <c r="F145">
        <v>158</v>
      </c>
      <c r="G145">
        <v>175</v>
      </c>
    </row>
    <row r="146" spans="6:7" ht="12.75">
      <c r="F146">
        <v>159</v>
      </c>
      <c r="G146">
        <v>175</v>
      </c>
    </row>
    <row r="147" spans="6:7" ht="12.75">
      <c r="F147">
        <v>160</v>
      </c>
      <c r="G147">
        <v>175</v>
      </c>
    </row>
    <row r="148" spans="6:7" ht="12.75">
      <c r="F148">
        <v>161</v>
      </c>
      <c r="G148">
        <v>175</v>
      </c>
    </row>
    <row r="149" spans="6:7" ht="12.75">
      <c r="F149">
        <v>162</v>
      </c>
      <c r="G149">
        <v>175</v>
      </c>
    </row>
    <row r="150" spans="6:7" ht="12.75">
      <c r="F150">
        <v>163</v>
      </c>
      <c r="G150">
        <v>175</v>
      </c>
    </row>
    <row r="151" spans="6:7" ht="12.75">
      <c r="F151">
        <v>164</v>
      </c>
      <c r="G151">
        <v>175</v>
      </c>
    </row>
    <row r="152" spans="6:7" ht="12.75">
      <c r="F152">
        <v>165</v>
      </c>
      <c r="G152">
        <v>175</v>
      </c>
    </row>
    <row r="153" spans="6:7" ht="12.75">
      <c r="F153">
        <v>166</v>
      </c>
      <c r="G153">
        <v>175</v>
      </c>
    </row>
    <row r="154" spans="6:7" ht="12.75">
      <c r="F154">
        <v>167</v>
      </c>
      <c r="G154">
        <v>175</v>
      </c>
    </row>
    <row r="155" spans="6:7" ht="12.75">
      <c r="F155">
        <v>168</v>
      </c>
      <c r="G155">
        <v>175</v>
      </c>
    </row>
    <row r="156" spans="6:7" ht="12.75">
      <c r="F156">
        <v>169</v>
      </c>
      <c r="G156">
        <v>175</v>
      </c>
    </row>
    <row r="157" spans="6:7" ht="12.75">
      <c r="F157">
        <v>170</v>
      </c>
      <c r="G157">
        <v>175</v>
      </c>
    </row>
    <row r="158" spans="6:7" ht="12.75">
      <c r="F158">
        <v>171</v>
      </c>
      <c r="G158">
        <v>175</v>
      </c>
    </row>
    <row r="159" spans="6:7" ht="12.75">
      <c r="F159">
        <v>172</v>
      </c>
      <c r="G159">
        <v>175</v>
      </c>
    </row>
    <row r="160" spans="6:7" ht="12.75">
      <c r="F160">
        <v>173</v>
      </c>
      <c r="G160">
        <v>175</v>
      </c>
    </row>
    <row r="161" spans="6:7" ht="12.75">
      <c r="F161">
        <v>174</v>
      </c>
      <c r="G161">
        <v>175</v>
      </c>
    </row>
    <row r="162" spans="6:7" ht="12.75">
      <c r="F162">
        <v>175</v>
      </c>
      <c r="G162">
        <v>175</v>
      </c>
    </row>
    <row r="163" spans="6:7" ht="12.75">
      <c r="F163">
        <v>176</v>
      </c>
      <c r="G163">
        <v>175</v>
      </c>
    </row>
    <row r="164" spans="6:7" ht="12.75">
      <c r="F164">
        <v>177</v>
      </c>
      <c r="G164">
        <v>175</v>
      </c>
    </row>
    <row r="165" spans="6:7" ht="12.75">
      <c r="F165">
        <v>178</v>
      </c>
      <c r="G165">
        <v>175</v>
      </c>
    </row>
    <row r="166" spans="6:7" ht="12.75">
      <c r="F166">
        <v>179</v>
      </c>
      <c r="G166">
        <v>175</v>
      </c>
    </row>
    <row r="167" spans="6:7" ht="12.75">
      <c r="F167">
        <v>180</v>
      </c>
      <c r="G167">
        <v>175</v>
      </c>
    </row>
    <row r="168" spans="6:7" ht="12.75">
      <c r="F168">
        <v>181</v>
      </c>
      <c r="G168">
        <v>175</v>
      </c>
    </row>
    <row r="169" spans="6:7" ht="12.75">
      <c r="F169">
        <v>182</v>
      </c>
      <c r="G169">
        <v>175</v>
      </c>
    </row>
    <row r="170" spans="6:7" ht="12.75">
      <c r="F170">
        <v>183</v>
      </c>
      <c r="G170">
        <v>200</v>
      </c>
    </row>
    <row r="171" spans="6:7" ht="12.75">
      <c r="F171">
        <v>184</v>
      </c>
      <c r="G171">
        <v>200</v>
      </c>
    </row>
    <row r="172" spans="6:7" ht="12.75">
      <c r="F172">
        <v>185</v>
      </c>
      <c r="G172">
        <v>200</v>
      </c>
    </row>
    <row r="173" spans="6:7" ht="12.75">
      <c r="F173">
        <v>186</v>
      </c>
      <c r="G173">
        <v>200</v>
      </c>
    </row>
    <row r="174" spans="6:7" ht="12.75">
      <c r="F174">
        <v>187</v>
      </c>
      <c r="G174">
        <v>200</v>
      </c>
    </row>
    <row r="175" spans="6:7" ht="12.75">
      <c r="F175">
        <v>188</v>
      </c>
      <c r="G175">
        <v>200</v>
      </c>
    </row>
    <row r="176" spans="6:7" ht="12.75">
      <c r="F176">
        <v>189</v>
      </c>
      <c r="G176">
        <v>200</v>
      </c>
    </row>
    <row r="177" spans="6:7" ht="12.75">
      <c r="F177">
        <v>190</v>
      </c>
      <c r="G177">
        <v>200</v>
      </c>
    </row>
    <row r="178" spans="6:7" ht="12.75">
      <c r="F178">
        <v>191</v>
      </c>
      <c r="G178">
        <v>200</v>
      </c>
    </row>
    <row r="179" spans="6:7" ht="12.75">
      <c r="F179">
        <v>192</v>
      </c>
      <c r="G179">
        <v>200</v>
      </c>
    </row>
    <row r="180" spans="6:7" ht="12.75">
      <c r="F180">
        <v>193</v>
      </c>
      <c r="G180">
        <v>200</v>
      </c>
    </row>
    <row r="181" spans="6:7" ht="12.75">
      <c r="F181">
        <v>194</v>
      </c>
      <c r="G181">
        <v>200</v>
      </c>
    </row>
    <row r="182" spans="6:7" ht="12.75">
      <c r="F182">
        <v>195</v>
      </c>
      <c r="G182">
        <v>200</v>
      </c>
    </row>
    <row r="183" spans="6:7" ht="12.75">
      <c r="F183">
        <v>196</v>
      </c>
      <c r="G183">
        <v>200</v>
      </c>
    </row>
    <row r="184" spans="6:7" ht="12.75">
      <c r="F184">
        <v>197</v>
      </c>
      <c r="G184">
        <v>200</v>
      </c>
    </row>
    <row r="185" spans="6:7" ht="12.75">
      <c r="F185">
        <v>198</v>
      </c>
      <c r="G185">
        <v>200</v>
      </c>
    </row>
    <row r="186" spans="6:7" ht="12.75">
      <c r="F186">
        <v>199</v>
      </c>
      <c r="G186">
        <v>200</v>
      </c>
    </row>
    <row r="187" spans="6:7" ht="12.75">
      <c r="F187">
        <v>200</v>
      </c>
      <c r="G187">
        <v>200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6"/>
  <sheetViews>
    <sheetView workbookViewId="0" topLeftCell="A28">
      <selection activeCell="A1" sqref="A1"/>
    </sheetView>
  </sheetViews>
  <sheetFormatPr defaultColWidth="9.140625" defaultRowHeight="12.75"/>
  <cols>
    <col min="1" max="1" width="5.7109375" style="27" customWidth="1"/>
    <col min="2" max="2" width="6.8515625" style="27" customWidth="1"/>
    <col min="3" max="17" width="5.7109375" style="27" customWidth="1"/>
    <col min="18" max="16384" width="9.140625" style="27" customWidth="1"/>
  </cols>
  <sheetData>
    <row r="1" spans="1:20" ht="12.75">
      <c r="A1" s="29" t="s">
        <v>289</v>
      </c>
      <c r="S1" s="27">
        <v>25</v>
      </c>
      <c r="T1" s="27">
        <v>25</v>
      </c>
    </row>
    <row r="2" spans="1:20" ht="12.75">
      <c r="A2" s="27" t="s">
        <v>141</v>
      </c>
      <c r="B2" s="60" t="s">
        <v>224</v>
      </c>
      <c r="C2" s="66" t="s">
        <v>225</v>
      </c>
      <c r="D2" s="66"/>
      <c r="E2" s="66"/>
      <c r="F2" s="66"/>
      <c r="G2" s="66" t="s">
        <v>226</v>
      </c>
      <c r="H2" s="66"/>
      <c r="I2" s="66"/>
      <c r="J2" s="66"/>
      <c r="K2" s="66"/>
      <c r="L2" s="66" t="s">
        <v>227</v>
      </c>
      <c r="M2" s="66"/>
      <c r="N2" s="66" t="s">
        <v>228</v>
      </c>
      <c r="O2" s="66"/>
      <c r="Q2" s="27" t="s">
        <v>229</v>
      </c>
      <c r="S2" s="27">
        <v>30</v>
      </c>
      <c r="T2" s="27">
        <v>32</v>
      </c>
    </row>
    <row r="3" spans="2:20" ht="40.5" customHeight="1">
      <c r="B3" s="60"/>
      <c r="C3" s="27" t="s">
        <v>230</v>
      </c>
      <c r="D3" s="27" t="s">
        <v>231</v>
      </c>
      <c r="E3" s="28" t="s">
        <v>232</v>
      </c>
      <c r="F3" s="28" t="s">
        <v>233</v>
      </c>
      <c r="G3" s="28" t="s">
        <v>234</v>
      </c>
      <c r="H3" s="28" t="s">
        <v>235</v>
      </c>
      <c r="I3" s="28" t="s">
        <v>236</v>
      </c>
      <c r="J3" s="28" t="s">
        <v>237</v>
      </c>
      <c r="K3" s="28" t="s">
        <v>238</v>
      </c>
      <c r="L3" s="28" t="s">
        <v>239</v>
      </c>
      <c r="M3" s="28" t="s">
        <v>240</v>
      </c>
      <c r="N3" s="28" t="s">
        <v>241</v>
      </c>
      <c r="O3" s="28" t="s">
        <v>243</v>
      </c>
      <c r="P3" s="28" t="s">
        <v>244</v>
      </c>
      <c r="Q3" s="28" t="s">
        <v>242</v>
      </c>
      <c r="S3" s="27">
        <v>35</v>
      </c>
      <c r="T3" s="27">
        <v>40</v>
      </c>
    </row>
    <row r="4" spans="1:20" ht="12.75">
      <c r="A4" s="27">
        <v>25</v>
      </c>
      <c r="B4" s="27">
        <v>30</v>
      </c>
      <c r="C4" s="27">
        <v>100</v>
      </c>
      <c r="D4" s="27">
        <v>14</v>
      </c>
      <c r="E4" s="27">
        <v>75</v>
      </c>
      <c r="F4" s="27">
        <v>35</v>
      </c>
      <c r="G4" s="27">
        <v>30</v>
      </c>
      <c r="H4" s="27">
        <v>3</v>
      </c>
      <c r="I4" s="27">
        <v>40</v>
      </c>
      <c r="J4" s="27">
        <v>4</v>
      </c>
      <c r="K4" s="27">
        <v>6</v>
      </c>
      <c r="L4" s="27">
        <v>50</v>
      </c>
      <c r="M4" s="27">
        <v>2</v>
      </c>
      <c r="N4" s="27">
        <v>4</v>
      </c>
      <c r="O4" s="27" t="s">
        <v>245</v>
      </c>
      <c r="P4" s="27">
        <v>11.5</v>
      </c>
      <c r="Q4" s="27">
        <v>0.75</v>
      </c>
      <c r="S4" s="27">
        <v>40</v>
      </c>
      <c r="T4" s="27">
        <v>40</v>
      </c>
    </row>
    <row r="5" spans="1:20" ht="12.75">
      <c r="A5" s="27">
        <v>32</v>
      </c>
      <c r="B5" s="27">
        <v>38</v>
      </c>
      <c r="C5" s="27">
        <v>120</v>
      </c>
      <c r="D5" s="27">
        <v>14</v>
      </c>
      <c r="E5" s="27">
        <v>90</v>
      </c>
      <c r="F5" s="27">
        <v>35</v>
      </c>
      <c r="G5" s="27">
        <v>38</v>
      </c>
      <c r="H5" s="27">
        <v>3</v>
      </c>
      <c r="I5" s="27">
        <v>50</v>
      </c>
      <c r="J5" s="27">
        <v>6</v>
      </c>
      <c r="K5" s="27">
        <v>6</v>
      </c>
      <c r="L5" s="27">
        <v>70</v>
      </c>
      <c r="M5" s="27">
        <v>2</v>
      </c>
      <c r="N5" s="27">
        <v>4</v>
      </c>
      <c r="O5" s="27" t="s">
        <v>246</v>
      </c>
      <c r="P5" s="27">
        <v>14</v>
      </c>
      <c r="Q5" s="27">
        <v>1.06</v>
      </c>
      <c r="S5" s="27">
        <v>45</v>
      </c>
      <c r="T5" s="27">
        <v>50</v>
      </c>
    </row>
    <row r="6" spans="1:20" ht="12.75">
      <c r="A6" s="27">
        <v>40</v>
      </c>
      <c r="B6" s="27">
        <v>44.5</v>
      </c>
      <c r="C6" s="27">
        <v>130</v>
      </c>
      <c r="D6" s="27">
        <v>14</v>
      </c>
      <c r="E6" s="27">
        <v>100</v>
      </c>
      <c r="F6" s="27">
        <v>38</v>
      </c>
      <c r="G6" s="27">
        <v>44.5</v>
      </c>
      <c r="H6" s="27">
        <v>3</v>
      </c>
      <c r="I6" s="27">
        <v>58</v>
      </c>
      <c r="J6" s="27">
        <v>6</v>
      </c>
      <c r="K6" s="27">
        <v>7</v>
      </c>
      <c r="L6" s="27">
        <v>80</v>
      </c>
      <c r="M6" s="27">
        <v>3</v>
      </c>
      <c r="N6" s="27">
        <v>4</v>
      </c>
      <c r="O6" s="27" t="s">
        <v>246</v>
      </c>
      <c r="P6" s="27">
        <v>14</v>
      </c>
      <c r="Q6" s="27">
        <v>1.19</v>
      </c>
      <c r="S6" s="27">
        <v>50</v>
      </c>
      <c r="T6" s="27">
        <v>50</v>
      </c>
    </row>
    <row r="7" spans="1:20" ht="12.75">
      <c r="A7" s="27">
        <v>50</v>
      </c>
      <c r="B7" s="27">
        <v>57</v>
      </c>
      <c r="C7" s="27">
        <v>140</v>
      </c>
      <c r="D7" s="27">
        <v>14</v>
      </c>
      <c r="E7" s="27">
        <v>110</v>
      </c>
      <c r="F7" s="27">
        <v>38</v>
      </c>
      <c r="G7" s="27">
        <v>57</v>
      </c>
      <c r="H7" s="27">
        <v>3</v>
      </c>
      <c r="I7" s="27">
        <v>70</v>
      </c>
      <c r="J7" s="27">
        <v>6</v>
      </c>
      <c r="K7" s="27">
        <v>8</v>
      </c>
      <c r="L7" s="27">
        <v>90</v>
      </c>
      <c r="M7" s="27">
        <v>3</v>
      </c>
      <c r="N7" s="27">
        <v>4</v>
      </c>
      <c r="O7" s="27" t="s">
        <v>246</v>
      </c>
      <c r="P7" s="27">
        <v>14</v>
      </c>
      <c r="Q7" s="27">
        <v>1.34</v>
      </c>
      <c r="S7" s="27">
        <v>55</v>
      </c>
      <c r="T7" s="27">
        <v>65</v>
      </c>
    </row>
    <row r="8" spans="1:20" ht="12.75">
      <c r="A8" s="27">
        <v>65</v>
      </c>
      <c r="B8" s="27">
        <v>76</v>
      </c>
      <c r="C8" s="27">
        <v>160</v>
      </c>
      <c r="D8" s="27">
        <v>14</v>
      </c>
      <c r="E8" s="27">
        <v>130</v>
      </c>
      <c r="F8" s="27">
        <v>38</v>
      </c>
      <c r="G8" s="27">
        <v>76</v>
      </c>
      <c r="H8" s="27">
        <v>3</v>
      </c>
      <c r="I8" s="27">
        <v>88</v>
      </c>
      <c r="J8" s="27">
        <v>6</v>
      </c>
      <c r="K8" s="27">
        <v>9</v>
      </c>
      <c r="L8" s="27">
        <v>11</v>
      </c>
      <c r="M8" s="27">
        <v>3</v>
      </c>
      <c r="N8" s="27">
        <v>4</v>
      </c>
      <c r="O8" s="27" t="s">
        <v>246</v>
      </c>
      <c r="P8" s="27">
        <v>14</v>
      </c>
      <c r="Q8" s="27">
        <v>1.67</v>
      </c>
      <c r="S8" s="27">
        <v>60</v>
      </c>
      <c r="T8" s="27">
        <v>65</v>
      </c>
    </row>
    <row r="9" spans="1:20" ht="12.75">
      <c r="A9" s="27">
        <v>80</v>
      </c>
      <c r="B9" s="27">
        <v>89</v>
      </c>
      <c r="C9" s="27">
        <v>190</v>
      </c>
      <c r="D9" s="27">
        <v>16</v>
      </c>
      <c r="E9" s="27">
        <v>150</v>
      </c>
      <c r="F9" s="27">
        <v>42</v>
      </c>
      <c r="G9" s="27">
        <v>89</v>
      </c>
      <c r="H9" s="27">
        <v>3.5</v>
      </c>
      <c r="I9" s="27">
        <v>102</v>
      </c>
      <c r="J9" s="27">
        <v>8</v>
      </c>
      <c r="K9" s="27">
        <v>10</v>
      </c>
      <c r="L9" s="27">
        <v>128</v>
      </c>
      <c r="M9" s="27">
        <v>3</v>
      </c>
      <c r="N9" s="27">
        <v>4</v>
      </c>
      <c r="O9" s="27" t="s">
        <v>247</v>
      </c>
      <c r="P9" s="27">
        <v>18</v>
      </c>
      <c r="Q9" s="27">
        <v>2.71</v>
      </c>
      <c r="S9" s="27">
        <v>65</v>
      </c>
      <c r="T9" s="27">
        <v>65</v>
      </c>
    </row>
    <row r="10" spans="1:20" ht="12.75">
      <c r="A10" s="27">
        <v>100</v>
      </c>
      <c r="B10" s="27">
        <v>108</v>
      </c>
      <c r="C10" s="27">
        <v>210</v>
      </c>
      <c r="D10" s="27">
        <v>16</v>
      </c>
      <c r="E10" s="27">
        <v>170</v>
      </c>
      <c r="F10" s="27">
        <v>45</v>
      </c>
      <c r="G10" s="27">
        <v>108</v>
      </c>
      <c r="H10" s="27">
        <v>4</v>
      </c>
      <c r="I10" s="27">
        <v>122</v>
      </c>
      <c r="J10" s="27">
        <v>8</v>
      </c>
      <c r="K10" s="27">
        <v>10</v>
      </c>
      <c r="L10" s="27">
        <v>148</v>
      </c>
      <c r="M10" s="27">
        <v>3</v>
      </c>
      <c r="N10" s="27">
        <v>4</v>
      </c>
      <c r="O10" s="27" t="s">
        <v>247</v>
      </c>
      <c r="P10" s="27">
        <v>18</v>
      </c>
      <c r="Q10" s="27">
        <v>3.24</v>
      </c>
      <c r="S10" s="27">
        <v>70</v>
      </c>
      <c r="T10" s="27">
        <v>80</v>
      </c>
    </row>
    <row r="11" spans="1:20" ht="12.75">
      <c r="A11" s="27">
        <v>125</v>
      </c>
      <c r="B11" s="27">
        <v>133</v>
      </c>
      <c r="C11" s="27">
        <v>240</v>
      </c>
      <c r="D11" s="27">
        <v>18</v>
      </c>
      <c r="E11" s="27">
        <v>200</v>
      </c>
      <c r="F11" s="27">
        <v>48</v>
      </c>
      <c r="G11" s="27">
        <v>133</v>
      </c>
      <c r="H11" s="27">
        <v>4</v>
      </c>
      <c r="I11" s="27">
        <v>148</v>
      </c>
      <c r="J11" s="27">
        <v>8</v>
      </c>
      <c r="K11" s="27">
        <v>10</v>
      </c>
      <c r="L11" s="27">
        <v>178</v>
      </c>
      <c r="M11" s="27">
        <v>3</v>
      </c>
      <c r="N11" s="27">
        <v>8</v>
      </c>
      <c r="O11" s="27" t="s">
        <v>247</v>
      </c>
      <c r="P11" s="27">
        <v>18</v>
      </c>
      <c r="Q11" s="27">
        <v>4.49</v>
      </c>
      <c r="S11" s="27">
        <v>75</v>
      </c>
      <c r="T11" s="27">
        <v>80</v>
      </c>
    </row>
    <row r="12" spans="1:20" ht="12.75">
      <c r="A12" s="27">
        <v>150</v>
      </c>
      <c r="B12" s="27">
        <v>159</v>
      </c>
      <c r="C12" s="27">
        <v>265</v>
      </c>
      <c r="D12" s="27">
        <v>18</v>
      </c>
      <c r="E12" s="27">
        <v>225</v>
      </c>
      <c r="F12" s="27">
        <v>48</v>
      </c>
      <c r="G12" s="27">
        <v>159</v>
      </c>
      <c r="H12" s="27">
        <v>4.5</v>
      </c>
      <c r="I12" s="27">
        <v>172</v>
      </c>
      <c r="J12" s="27">
        <v>10</v>
      </c>
      <c r="K12" s="27">
        <v>12</v>
      </c>
      <c r="L12" s="27">
        <v>202</v>
      </c>
      <c r="M12" s="27">
        <v>3</v>
      </c>
      <c r="N12" s="27">
        <v>8</v>
      </c>
      <c r="O12" s="27" t="s">
        <v>247</v>
      </c>
      <c r="P12" s="27">
        <v>18</v>
      </c>
      <c r="Q12" s="27">
        <v>5.15</v>
      </c>
      <c r="S12" s="27">
        <v>80</v>
      </c>
      <c r="T12" s="27">
        <v>80</v>
      </c>
    </row>
    <row r="13" spans="1:20" ht="12.75">
      <c r="A13" s="27">
        <v>200</v>
      </c>
      <c r="B13" s="27">
        <v>219</v>
      </c>
      <c r="C13" s="27">
        <v>320</v>
      </c>
      <c r="D13" s="27">
        <v>20</v>
      </c>
      <c r="E13" s="27">
        <v>280</v>
      </c>
      <c r="F13" s="27">
        <v>55</v>
      </c>
      <c r="G13" s="27">
        <v>219</v>
      </c>
      <c r="H13" s="27">
        <v>6.5</v>
      </c>
      <c r="I13" s="27">
        <v>236</v>
      </c>
      <c r="J13" s="27">
        <v>10</v>
      </c>
      <c r="K13" s="27">
        <v>15</v>
      </c>
      <c r="L13" s="27">
        <v>258</v>
      </c>
      <c r="M13" s="27">
        <v>3</v>
      </c>
      <c r="N13" s="27">
        <v>8</v>
      </c>
      <c r="O13" s="27" t="s">
        <v>247</v>
      </c>
      <c r="P13" s="27">
        <v>18</v>
      </c>
      <c r="Q13" s="27">
        <v>7.8</v>
      </c>
      <c r="S13" s="27">
        <v>85</v>
      </c>
      <c r="T13" s="27">
        <v>100</v>
      </c>
    </row>
    <row r="14" spans="1:20" ht="12.75">
      <c r="A14" s="27">
        <v>250</v>
      </c>
      <c r="B14" s="27">
        <v>273</v>
      </c>
      <c r="C14" s="27">
        <v>375</v>
      </c>
      <c r="D14" s="27">
        <v>22</v>
      </c>
      <c r="E14" s="27">
        <v>335</v>
      </c>
      <c r="F14" s="27">
        <v>60</v>
      </c>
      <c r="G14" s="27">
        <v>273</v>
      </c>
      <c r="H14" s="27">
        <v>7.5</v>
      </c>
      <c r="I14" s="27">
        <v>290</v>
      </c>
      <c r="J14" s="27">
        <v>12</v>
      </c>
      <c r="K14" s="27">
        <v>15</v>
      </c>
      <c r="L14" s="27">
        <v>312</v>
      </c>
      <c r="M14" s="27">
        <v>3</v>
      </c>
      <c r="N14" s="27">
        <v>12</v>
      </c>
      <c r="O14" s="27" t="s">
        <v>247</v>
      </c>
      <c r="P14" s="27">
        <v>18</v>
      </c>
      <c r="Q14" s="27">
        <v>11</v>
      </c>
      <c r="S14" s="27">
        <v>90</v>
      </c>
      <c r="T14" s="27">
        <v>100</v>
      </c>
    </row>
    <row r="15" spans="1:20" ht="12.75">
      <c r="A15" s="27">
        <v>300</v>
      </c>
      <c r="B15" s="27">
        <v>324</v>
      </c>
      <c r="C15" s="27">
        <v>440</v>
      </c>
      <c r="D15" s="27">
        <v>22</v>
      </c>
      <c r="E15" s="27">
        <v>395</v>
      </c>
      <c r="F15" s="27">
        <v>62</v>
      </c>
      <c r="G15" s="27">
        <v>324</v>
      </c>
      <c r="H15" s="27">
        <v>8</v>
      </c>
      <c r="I15" s="27">
        <v>342</v>
      </c>
      <c r="J15" s="27">
        <v>12</v>
      </c>
      <c r="K15" s="27">
        <v>15</v>
      </c>
      <c r="L15" s="27">
        <v>365</v>
      </c>
      <c r="M15" s="27">
        <v>4</v>
      </c>
      <c r="N15" s="27">
        <v>12</v>
      </c>
      <c r="O15" s="27" t="s">
        <v>248</v>
      </c>
      <c r="P15" s="27">
        <v>23</v>
      </c>
      <c r="Q15" s="27">
        <v>14.4</v>
      </c>
      <c r="S15" s="27">
        <v>95</v>
      </c>
      <c r="T15" s="27">
        <v>100</v>
      </c>
    </row>
    <row r="16" spans="1:20" ht="12.75">
      <c r="A16" s="27">
        <v>350</v>
      </c>
      <c r="B16" s="27">
        <v>368</v>
      </c>
      <c r="C16" s="27">
        <v>490</v>
      </c>
      <c r="D16" s="27">
        <v>22</v>
      </c>
      <c r="E16" s="27">
        <v>445</v>
      </c>
      <c r="F16" s="27">
        <v>62</v>
      </c>
      <c r="G16" s="27">
        <v>368</v>
      </c>
      <c r="H16" s="27">
        <v>8</v>
      </c>
      <c r="I16" s="27">
        <v>385</v>
      </c>
      <c r="J16" s="27">
        <v>12</v>
      </c>
      <c r="K16" s="27">
        <v>15</v>
      </c>
      <c r="L16" s="27">
        <v>415</v>
      </c>
      <c r="M16" s="27">
        <v>4</v>
      </c>
      <c r="N16" s="27">
        <v>12</v>
      </c>
      <c r="O16" s="27" t="s">
        <v>248</v>
      </c>
      <c r="P16" s="27">
        <v>23</v>
      </c>
      <c r="Q16" s="27">
        <v>16.3</v>
      </c>
      <c r="S16" s="27">
        <v>100</v>
      </c>
      <c r="T16" s="27">
        <v>100</v>
      </c>
    </row>
    <row r="17" spans="1:20" ht="12.75">
      <c r="A17" s="27">
        <v>400</v>
      </c>
      <c r="B17" s="27">
        <v>419</v>
      </c>
      <c r="C17" s="27">
        <v>540</v>
      </c>
      <c r="D17" s="27">
        <v>22</v>
      </c>
      <c r="E17" s="27">
        <v>495</v>
      </c>
      <c r="F17" s="27">
        <v>65</v>
      </c>
      <c r="G17" s="27">
        <v>419</v>
      </c>
      <c r="H17" s="27">
        <v>8</v>
      </c>
      <c r="I17" s="27">
        <v>438</v>
      </c>
      <c r="J17" s="27">
        <v>12</v>
      </c>
      <c r="K17" s="27">
        <v>15</v>
      </c>
      <c r="L17" s="27">
        <v>465</v>
      </c>
      <c r="M17" s="27">
        <v>4</v>
      </c>
      <c r="N17" s="27">
        <v>16</v>
      </c>
      <c r="O17" s="27" t="s">
        <v>248</v>
      </c>
      <c r="P17" s="27">
        <v>23</v>
      </c>
      <c r="Q17" s="27">
        <v>18.5</v>
      </c>
      <c r="S17" s="27">
        <v>105</v>
      </c>
      <c r="T17" s="27">
        <v>125</v>
      </c>
    </row>
    <row r="18" spans="1:20" ht="12.75">
      <c r="A18" s="27">
        <v>500</v>
      </c>
      <c r="B18" s="27">
        <v>508</v>
      </c>
      <c r="C18" s="27">
        <v>645</v>
      </c>
      <c r="D18" s="27">
        <v>24</v>
      </c>
      <c r="E18" s="27">
        <v>600</v>
      </c>
      <c r="F18" s="27">
        <v>68</v>
      </c>
      <c r="G18" s="27">
        <v>508</v>
      </c>
      <c r="H18" s="27">
        <v>8</v>
      </c>
      <c r="I18" s="27">
        <v>538</v>
      </c>
      <c r="J18" s="27">
        <v>12</v>
      </c>
      <c r="K18" s="27">
        <v>15</v>
      </c>
      <c r="L18" s="27">
        <v>570</v>
      </c>
      <c r="M18" s="27">
        <v>4</v>
      </c>
      <c r="N18" s="27">
        <v>20</v>
      </c>
      <c r="O18" s="27" t="s">
        <v>248</v>
      </c>
      <c r="P18" s="27">
        <v>23</v>
      </c>
      <c r="Q18" s="27">
        <v>24.8</v>
      </c>
      <c r="S18" s="27">
        <v>110</v>
      </c>
      <c r="T18" s="27">
        <v>125</v>
      </c>
    </row>
    <row r="19" spans="19:20" ht="12.75">
      <c r="S19" s="27">
        <v>115</v>
      </c>
      <c r="T19" s="27">
        <v>125</v>
      </c>
    </row>
    <row r="20" spans="19:20" ht="12.75">
      <c r="S20" s="27">
        <v>120</v>
      </c>
      <c r="T20" s="27">
        <v>125</v>
      </c>
    </row>
    <row r="21" spans="1:20" ht="12.75">
      <c r="A21" s="29" t="s">
        <v>288</v>
      </c>
      <c r="S21" s="27">
        <v>125</v>
      </c>
      <c r="T21" s="27">
        <v>125</v>
      </c>
    </row>
    <row r="22" spans="1:20" ht="12.75">
      <c r="A22" s="27" t="s">
        <v>141</v>
      </c>
      <c r="B22" s="60" t="s">
        <v>224</v>
      </c>
      <c r="C22" s="66" t="s">
        <v>225</v>
      </c>
      <c r="D22" s="66"/>
      <c r="E22" s="66"/>
      <c r="F22" s="66"/>
      <c r="G22" s="66" t="s">
        <v>226</v>
      </c>
      <c r="H22" s="66"/>
      <c r="I22" s="66"/>
      <c r="J22" s="66"/>
      <c r="K22" s="66"/>
      <c r="L22" s="66" t="s">
        <v>227</v>
      </c>
      <c r="M22" s="66"/>
      <c r="N22" s="66" t="s">
        <v>228</v>
      </c>
      <c r="O22" s="66"/>
      <c r="Q22" s="27" t="s">
        <v>229</v>
      </c>
      <c r="S22" s="27">
        <v>130</v>
      </c>
      <c r="T22" s="27">
        <v>150</v>
      </c>
    </row>
    <row r="23" spans="2:20" ht="40.5" customHeight="1">
      <c r="B23" s="60"/>
      <c r="C23" s="27" t="s">
        <v>230</v>
      </c>
      <c r="D23" s="27" t="s">
        <v>231</v>
      </c>
      <c r="E23" s="28" t="s">
        <v>232</v>
      </c>
      <c r="F23" s="28" t="s">
        <v>233</v>
      </c>
      <c r="G23" s="28" t="s">
        <v>234</v>
      </c>
      <c r="H23" s="28" t="s">
        <v>235</v>
      </c>
      <c r="I23" s="28" t="s">
        <v>236</v>
      </c>
      <c r="J23" s="28" t="s">
        <v>237</v>
      </c>
      <c r="K23" s="28" t="s">
        <v>238</v>
      </c>
      <c r="L23" s="28" t="s">
        <v>239</v>
      </c>
      <c r="M23" s="28" t="s">
        <v>240</v>
      </c>
      <c r="N23" s="28" t="s">
        <v>241</v>
      </c>
      <c r="O23" s="28" t="s">
        <v>243</v>
      </c>
      <c r="P23" s="28" t="s">
        <v>244</v>
      </c>
      <c r="Q23" s="28" t="s">
        <v>242</v>
      </c>
      <c r="S23" s="27">
        <v>135</v>
      </c>
      <c r="T23" s="27">
        <v>150</v>
      </c>
    </row>
    <row r="24" spans="1:20" ht="12.75">
      <c r="A24" s="27">
        <v>25</v>
      </c>
      <c r="B24" s="27">
        <v>30</v>
      </c>
      <c r="C24" s="27">
        <v>115</v>
      </c>
      <c r="D24" s="27">
        <v>18</v>
      </c>
      <c r="E24" s="27">
        <v>85</v>
      </c>
      <c r="F24" s="27">
        <v>40</v>
      </c>
      <c r="G24" s="27">
        <v>30</v>
      </c>
      <c r="H24" s="27">
        <v>3</v>
      </c>
      <c r="I24" s="27">
        <v>42</v>
      </c>
      <c r="J24" s="27">
        <v>4</v>
      </c>
      <c r="K24" s="27">
        <v>6</v>
      </c>
      <c r="L24" s="27">
        <v>68</v>
      </c>
      <c r="M24" s="27">
        <v>2</v>
      </c>
      <c r="N24" s="27">
        <v>4</v>
      </c>
      <c r="O24" s="27" t="s">
        <v>246</v>
      </c>
      <c r="P24" s="27">
        <v>14</v>
      </c>
      <c r="Q24" s="27">
        <v>1.3</v>
      </c>
      <c r="S24" s="27">
        <v>140</v>
      </c>
      <c r="T24" s="27">
        <v>150</v>
      </c>
    </row>
    <row r="25" spans="1:20" ht="12.75">
      <c r="A25" s="27">
        <v>32</v>
      </c>
      <c r="B25" s="27">
        <v>38</v>
      </c>
      <c r="C25" s="27">
        <v>140</v>
      </c>
      <c r="D25" s="27">
        <v>18</v>
      </c>
      <c r="E25" s="27">
        <v>100</v>
      </c>
      <c r="F25" s="27">
        <v>42</v>
      </c>
      <c r="G25" s="27">
        <v>38</v>
      </c>
      <c r="H25" s="27">
        <v>3</v>
      </c>
      <c r="I25" s="27">
        <v>52</v>
      </c>
      <c r="J25" s="27">
        <v>6</v>
      </c>
      <c r="K25" s="27">
        <v>6</v>
      </c>
      <c r="L25" s="27">
        <v>78</v>
      </c>
      <c r="M25" s="27">
        <v>2</v>
      </c>
      <c r="N25" s="27">
        <v>4</v>
      </c>
      <c r="O25" s="27" t="s">
        <v>247</v>
      </c>
      <c r="P25" s="27">
        <v>18</v>
      </c>
      <c r="Q25" s="27">
        <v>1.9</v>
      </c>
      <c r="S25" s="27">
        <v>145</v>
      </c>
      <c r="T25" s="27">
        <v>150</v>
      </c>
    </row>
    <row r="26" spans="1:20" ht="12.75">
      <c r="A26" s="27">
        <v>40</v>
      </c>
      <c r="B26" s="27">
        <v>44.5</v>
      </c>
      <c r="C26" s="27">
        <v>150</v>
      </c>
      <c r="D26" s="27">
        <v>18</v>
      </c>
      <c r="E26" s="27">
        <v>110</v>
      </c>
      <c r="F26" s="27">
        <v>45</v>
      </c>
      <c r="G26" s="27">
        <v>44.5</v>
      </c>
      <c r="H26" s="27">
        <v>3</v>
      </c>
      <c r="I26" s="27">
        <v>60</v>
      </c>
      <c r="J26" s="27">
        <v>6</v>
      </c>
      <c r="K26" s="27">
        <v>7</v>
      </c>
      <c r="L26" s="27">
        <v>88</v>
      </c>
      <c r="M26" s="27">
        <v>3</v>
      </c>
      <c r="N26" s="27">
        <v>4</v>
      </c>
      <c r="O26" s="27" t="s">
        <v>247</v>
      </c>
      <c r="P26" s="27">
        <v>18</v>
      </c>
      <c r="Q26" s="27">
        <v>2.35</v>
      </c>
      <c r="S26" s="27">
        <v>150</v>
      </c>
      <c r="T26" s="27">
        <v>150</v>
      </c>
    </row>
    <row r="27" spans="1:20" ht="12.75">
      <c r="A27" s="27">
        <v>50</v>
      </c>
      <c r="B27" s="27">
        <v>57</v>
      </c>
      <c r="C27" s="27">
        <v>165</v>
      </c>
      <c r="D27" s="27">
        <v>20</v>
      </c>
      <c r="E27" s="27">
        <v>125</v>
      </c>
      <c r="F27" s="27">
        <v>48</v>
      </c>
      <c r="G27" s="27">
        <v>57</v>
      </c>
      <c r="H27" s="27">
        <v>3</v>
      </c>
      <c r="I27" s="27">
        <v>72</v>
      </c>
      <c r="J27" s="27">
        <v>6</v>
      </c>
      <c r="K27" s="27">
        <v>8</v>
      </c>
      <c r="L27" s="27">
        <v>102</v>
      </c>
      <c r="M27" s="27">
        <v>3</v>
      </c>
      <c r="N27" s="27">
        <v>4</v>
      </c>
      <c r="O27" s="27" t="s">
        <v>247</v>
      </c>
      <c r="P27" s="27">
        <v>18</v>
      </c>
      <c r="Q27" s="27">
        <v>2.82</v>
      </c>
      <c r="S27" s="27">
        <v>155</v>
      </c>
      <c r="T27" s="27">
        <v>200</v>
      </c>
    </row>
    <row r="28" spans="1:20" ht="12.75">
      <c r="A28" s="27">
        <v>65</v>
      </c>
      <c r="B28" s="27">
        <v>76</v>
      </c>
      <c r="C28" s="27">
        <v>185</v>
      </c>
      <c r="D28" s="27">
        <v>18</v>
      </c>
      <c r="E28" s="27">
        <v>145</v>
      </c>
      <c r="F28" s="27">
        <v>45</v>
      </c>
      <c r="G28" s="27">
        <v>76</v>
      </c>
      <c r="H28" s="27">
        <v>3</v>
      </c>
      <c r="I28" s="27">
        <v>90</v>
      </c>
      <c r="J28" s="27">
        <v>6</v>
      </c>
      <c r="K28" s="27">
        <v>10</v>
      </c>
      <c r="L28" s="27">
        <v>122</v>
      </c>
      <c r="M28" s="27">
        <v>3</v>
      </c>
      <c r="N28" s="27">
        <v>4</v>
      </c>
      <c r="O28" s="27" t="s">
        <v>247</v>
      </c>
      <c r="P28" s="27">
        <v>18</v>
      </c>
      <c r="Q28" s="27">
        <v>3.06</v>
      </c>
      <c r="S28" s="27">
        <v>160</v>
      </c>
      <c r="T28" s="27">
        <v>200</v>
      </c>
    </row>
    <row r="29" spans="1:20" ht="12.75">
      <c r="A29" s="27">
        <v>80</v>
      </c>
      <c r="B29" s="27">
        <v>89</v>
      </c>
      <c r="C29" s="27">
        <v>200</v>
      </c>
      <c r="D29" s="27">
        <v>20</v>
      </c>
      <c r="E29" s="27">
        <v>160</v>
      </c>
      <c r="F29" s="27">
        <v>50</v>
      </c>
      <c r="G29" s="27">
        <v>89</v>
      </c>
      <c r="H29" s="27">
        <v>3.5</v>
      </c>
      <c r="I29" s="27">
        <v>105</v>
      </c>
      <c r="J29" s="27">
        <v>8</v>
      </c>
      <c r="K29" s="27">
        <v>10</v>
      </c>
      <c r="L29" s="27">
        <v>138</v>
      </c>
      <c r="M29" s="27">
        <v>3</v>
      </c>
      <c r="N29" s="27">
        <v>4</v>
      </c>
      <c r="O29" s="27" t="s">
        <v>247</v>
      </c>
      <c r="P29" s="27">
        <v>18</v>
      </c>
      <c r="Q29" s="27">
        <v>3.86</v>
      </c>
      <c r="S29" s="27">
        <v>165</v>
      </c>
      <c r="T29" s="27">
        <v>200</v>
      </c>
    </row>
    <row r="30" spans="1:20" ht="12.75">
      <c r="A30" s="27">
        <v>100</v>
      </c>
      <c r="B30" s="27">
        <v>108</v>
      </c>
      <c r="C30" s="27">
        <v>220</v>
      </c>
      <c r="D30" s="27">
        <v>20</v>
      </c>
      <c r="E30" s="27">
        <v>180</v>
      </c>
      <c r="F30" s="27">
        <v>52</v>
      </c>
      <c r="G30" s="27">
        <v>108</v>
      </c>
      <c r="H30" s="27">
        <v>4</v>
      </c>
      <c r="I30" s="27">
        <v>125</v>
      </c>
      <c r="J30" s="27">
        <v>8</v>
      </c>
      <c r="K30" s="27">
        <v>12</v>
      </c>
      <c r="L30" s="27">
        <v>158</v>
      </c>
      <c r="M30" s="27">
        <v>3</v>
      </c>
      <c r="N30" s="27">
        <v>4</v>
      </c>
      <c r="O30" s="27" t="s">
        <v>247</v>
      </c>
      <c r="P30" s="27">
        <v>18</v>
      </c>
      <c r="Q30" s="27">
        <v>4.62</v>
      </c>
      <c r="S30" s="27">
        <v>170</v>
      </c>
      <c r="T30" s="27">
        <v>200</v>
      </c>
    </row>
    <row r="31" spans="1:20" ht="12.75">
      <c r="A31" s="27">
        <v>125</v>
      </c>
      <c r="B31" s="27">
        <v>133</v>
      </c>
      <c r="C31" s="27">
        <v>250</v>
      </c>
      <c r="D31" s="27">
        <v>22</v>
      </c>
      <c r="E31" s="27">
        <v>210</v>
      </c>
      <c r="F31" s="27">
        <v>55</v>
      </c>
      <c r="G31" s="27">
        <v>133</v>
      </c>
      <c r="H31" s="27">
        <v>4</v>
      </c>
      <c r="I31" s="27">
        <v>150</v>
      </c>
      <c r="J31" s="27">
        <v>8</v>
      </c>
      <c r="K31" s="27">
        <v>12</v>
      </c>
      <c r="L31" s="27">
        <v>188</v>
      </c>
      <c r="M31" s="27">
        <v>3</v>
      </c>
      <c r="N31" s="27">
        <v>8</v>
      </c>
      <c r="O31" s="27" t="s">
        <v>247</v>
      </c>
      <c r="P31" s="27">
        <v>18</v>
      </c>
      <c r="Q31" s="27">
        <v>6.3</v>
      </c>
      <c r="S31" s="27">
        <v>175</v>
      </c>
      <c r="T31" s="27">
        <v>200</v>
      </c>
    </row>
    <row r="32" spans="1:20" ht="12.75">
      <c r="A32" s="27">
        <v>150</v>
      </c>
      <c r="B32" s="27">
        <v>159</v>
      </c>
      <c r="C32" s="27">
        <v>285</v>
      </c>
      <c r="D32" s="27">
        <v>22</v>
      </c>
      <c r="E32" s="27">
        <v>240</v>
      </c>
      <c r="F32" s="27">
        <v>55</v>
      </c>
      <c r="G32" s="27">
        <v>159</v>
      </c>
      <c r="H32" s="27">
        <v>4.5</v>
      </c>
      <c r="I32" s="27">
        <v>175</v>
      </c>
      <c r="J32" s="27">
        <v>10</v>
      </c>
      <c r="K32" s="27">
        <v>16</v>
      </c>
      <c r="L32" s="27">
        <v>212</v>
      </c>
      <c r="M32" s="27">
        <v>3</v>
      </c>
      <c r="N32" s="27">
        <v>8</v>
      </c>
      <c r="O32" s="27" t="s">
        <v>248</v>
      </c>
      <c r="P32" s="27">
        <v>23</v>
      </c>
      <c r="Q32" s="27">
        <v>7.75</v>
      </c>
      <c r="S32" s="27">
        <v>180</v>
      </c>
      <c r="T32" s="27">
        <v>200</v>
      </c>
    </row>
    <row r="33" spans="1:20" ht="12.75">
      <c r="A33" s="27">
        <v>200</v>
      </c>
      <c r="B33" s="27">
        <v>219</v>
      </c>
      <c r="C33" s="27">
        <v>340</v>
      </c>
      <c r="D33" s="27">
        <v>24</v>
      </c>
      <c r="E33" s="27">
        <v>295</v>
      </c>
      <c r="F33" s="27">
        <v>62</v>
      </c>
      <c r="G33" s="27">
        <v>219</v>
      </c>
      <c r="H33" s="27">
        <v>6.5</v>
      </c>
      <c r="I33" s="27">
        <v>235</v>
      </c>
      <c r="J33" s="27">
        <v>10</v>
      </c>
      <c r="K33" s="27">
        <v>16</v>
      </c>
      <c r="L33" s="27">
        <v>268</v>
      </c>
      <c r="M33" s="27">
        <v>3</v>
      </c>
      <c r="N33" s="27">
        <v>8</v>
      </c>
      <c r="O33" s="27" t="s">
        <v>248</v>
      </c>
      <c r="P33" s="27">
        <v>23</v>
      </c>
      <c r="Q33" s="27">
        <v>11.3</v>
      </c>
      <c r="S33" s="27">
        <v>185</v>
      </c>
      <c r="T33" s="27">
        <v>200</v>
      </c>
    </row>
    <row r="34" spans="1:20" ht="12.75">
      <c r="A34" s="27">
        <v>250</v>
      </c>
      <c r="B34" s="27">
        <v>273</v>
      </c>
      <c r="C34" s="27">
        <v>395</v>
      </c>
      <c r="D34" s="27">
        <v>26</v>
      </c>
      <c r="E34" s="27">
        <v>350</v>
      </c>
      <c r="F34" s="27">
        <v>68</v>
      </c>
      <c r="G34" s="27">
        <v>273</v>
      </c>
      <c r="H34" s="27">
        <v>7.5</v>
      </c>
      <c r="I34" s="27">
        <v>292</v>
      </c>
      <c r="J34" s="27">
        <v>12</v>
      </c>
      <c r="K34" s="27">
        <v>16</v>
      </c>
      <c r="L34" s="27">
        <v>320</v>
      </c>
      <c r="M34" s="27">
        <v>3</v>
      </c>
      <c r="N34" s="27">
        <v>12</v>
      </c>
      <c r="O34" s="27" t="s">
        <v>248</v>
      </c>
      <c r="P34" s="27">
        <v>23</v>
      </c>
      <c r="Q34" s="27">
        <v>15</v>
      </c>
      <c r="S34" s="27">
        <v>190</v>
      </c>
      <c r="T34" s="27">
        <v>200</v>
      </c>
    </row>
    <row r="35" spans="1:20" ht="12.75">
      <c r="A35" s="27">
        <v>300</v>
      </c>
      <c r="B35" s="27">
        <v>324</v>
      </c>
      <c r="C35" s="27">
        <v>445</v>
      </c>
      <c r="D35" s="27">
        <v>26</v>
      </c>
      <c r="E35" s="27">
        <v>400</v>
      </c>
      <c r="F35" s="27">
        <v>68</v>
      </c>
      <c r="G35" s="27">
        <v>324</v>
      </c>
      <c r="H35" s="27">
        <v>8</v>
      </c>
      <c r="I35" s="27">
        <v>344</v>
      </c>
      <c r="J35" s="27">
        <v>12</v>
      </c>
      <c r="K35" s="27">
        <v>16</v>
      </c>
      <c r="L35" s="27">
        <v>370</v>
      </c>
      <c r="M35" s="27">
        <v>4</v>
      </c>
      <c r="N35" s="27">
        <v>12</v>
      </c>
      <c r="O35" s="27" t="s">
        <v>248</v>
      </c>
      <c r="P35" s="27">
        <v>23</v>
      </c>
      <c r="Q35" s="27">
        <v>17.7</v>
      </c>
      <c r="S35" s="27">
        <v>195</v>
      </c>
      <c r="T35" s="27">
        <v>200</v>
      </c>
    </row>
    <row r="36" spans="1:20" ht="12.75">
      <c r="A36" s="27">
        <v>350</v>
      </c>
      <c r="B36" s="27">
        <v>368</v>
      </c>
      <c r="C36" s="27">
        <v>505</v>
      </c>
      <c r="D36" s="27">
        <v>26</v>
      </c>
      <c r="E36" s="27">
        <v>460</v>
      </c>
      <c r="F36" s="27">
        <v>68</v>
      </c>
      <c r="G36" s="27">
        <v>368</v>
      </c>
      <c r="H36" s="27">
        <v>8</v>
      </c>
      <c r="I36" s="27">
        <v>385</v>
      </c>
      <c r="J36" s="27">
        <v>12</v>
      </c>
      <c r="K36" s="27">
        <v>16</v>
      </c>
      <c r="L36" s="27">
        <v>430</v>
      </c>
      <c r="M36" s="27">
        <v>4</v>
      </c>
      <c r="N36" s="27">
        <v>16</v>
      </c>
      <c r="O36" s="27" t="s">
        <v>248</v>
      </c>
      <c r="P36" s="27">
        <v>23</v>
      </c>
      <c r="Q36" s="27">
        <v>21.5</v>
      </c>
      <c r="S36" s="27">
        <v>200</v>
      </c>
      <c r="T36" s="27">
        <v>200</v>
      </c>
    </row>
    <row r="37" spans="1:20" ht="12.75">
      <c r="A37" s="27">
        <v>400</v>
      </c>
      <c r="B37" s="27">
        <v>419</v>
      </c>
      <c r="C37" s="27">
        <v>565</v>
      </c>
      <c r="D37" s="27">
        <v>26</v>
      </c>
      <c r="E37" s="27">
        <v>515</v>
      </c>
      <c r="F37" s="27">
        <v>72</v>
      </c>
      <c r="G37" s="27">
        <v>419</v>
      </c>
      <c r="H37" s="27">
        <v>8</v>
      </c>
      <c r="I37" s="27">
        <v>440</v>
      </c>
      <c r="J37" s="27">
        <v>12</v>
      </c>
      <c r="K37" s="27">
        <v>16</v>
      </c>
      <c r="L37" s="27">
        <v>482</v>
      </c>
      <c r="M37" s="27">
        <v>4</v>
      </c>
      <c r="N37" s="27">
        <v>16</v>
      </c>
      <c r="O37" s="27" t="s">
        <v>283</v>
      </c>
      <c r="P37" s="27">
        <v>27</v>
      </c>
      <c r="Q37" s="27">
        <v>26.2</v>
      </c>
      <c r="S37" s="27">
        <v>205</v>
      </c>
      <c r="T37" s="27">
        <v>250</v>
      </c>
    </row>
    <row r="38" spans="1:20" ht="12.75">
      <c r="A38" s="27">
        <v>500</v>
      </c>
      <c r="B38" s="27">
        <v>508</v>
      </c>
      <c r="C38" s="27">
        <v>670</v>
      </c>
      <c r="D38" s="27">
        <v>28</v>
      </c>
      <c r="E38" s="27">
        <v>620</v>
      </c>
      <c r="F38" s="27">
        <v>75</v>
      </c>
      <c r="G38" s="27">
        <v>508</v>
      </c>
      <c r="H38" s="27">
        <v>8</v>
      </c>
      <c r="I38" s="27">
        <v>542</v>
      </c>
      <c r="J38" s="27">
        <v>12</v>
      </c>
      <c r="K38" s="27">
        <v>16</v>
      </c>
      <c r="L38" s="27">
        <v>585</v>
      </c>
      <c r="M38" s="27">
        <v>4</v>
      </c>
      <c r="N38" s="27">
        <v>20</v>
      </c>
      <c r="O38" s="27" t="s">
        <v>283</v>
      </c>
      <c r="P38" s="27">
        <v>27</v>
      </c>
      <c r="Q38" s="27">
        <v>35</v>
      </c>
      <c r="S38" s="27">
        <v>210</v>
      </c>
      <c r="T38" s="27">
        <v>250</v>
      </c>
    </row>
    <row r="39" spans="19:20" ht="12.75">
      <c r="S39" s="27">
        <v>215</v>
      </c>
      <c r="T39" s="27">
        <v>250</v>
      </c>
    </row>
    <row r="40" spans="19:20" ht="12.75">
      <c r="S40" s="27">
        <v>220</v>
      </c>
      <c r="T40" s="27">
        <v>250</v>
      </c>
    </row>
    <row r="41" spans="1:20" ht="12.75">
      <c r="A41" s="29" t="s">
        <v>287</v>
      </c>
      <c r="S41" s="27">
        <v>225</v>
      </c>
      <c r="T41" s="27">
        <v>250</v>
      </c>
    </row>
    <row r="42" spans="1:20" ht="12.75">
      <c r="A42" s="27" t="s">
        <v>141</v>
      </c>
      <c r="B42" s="60" t="s">
        <v>224</v>
      </c>
      <c r="C42" s="66" t="s">
        <v>225</v>
      </c>
      <c r="D42" s="66"/>
      <c r="E42" s="66"/>
      <c r="F42" s="66"/>
      <c r="G42" s="66" t="s">
        <v>226</v>
      </c>
      <c r="H42" s="66"/>
      <c r="I42" s="66"/>
      <c r="J42" s="66"/>
      <c r="K42" s="66"/>
      <c r="L42" s="66" t="s">
        <v>227</v>
      </c>
      <c r="M42" s="66"/>
      <c r="N42" s="66" t="s">
        <v>228</v>
      </c>
      <c r="O42" s="66"/>
      <c r="Q42" s="27" t="s">
        <v>229</v>
      </c>
      <c r="S42" s="27">
        <v>230</v>
      </c>
      <c r="T42" s="27">
        <v>250</v>
      </c>
    </row>
    <row r="43" spans="2:20" ht="40.5" customHeight="1">
      <c r="B43" s="60"/>
      <c r="C43" s="27" t="s">
        <v>230</v>
      </c>
      <c r="D43" s="27" t="s">
        <v>231</v>
      </c>
      <c r="E43" s="28" t="s">
        <v>232</v>
      </c>
      <c r="F43" s="28" t="s">
        <v>233</v>
      </c>
      <c r="G43" s="28" t="s">
        <v>234</v>
      </c>
      <c r="H43" s="28" t="s">
        <v>235</v>
      </c>
      <c r="I43" s="28" t="s">
        <v>236</v>
      </c>
      <c r="J43" s="28" t="s">
        <v>237</v>
      </c>
      <c r="K43" s="28" t="s">
        <v>238</v>
      </c>
      <c r="L43" s="28" t="s">
        <v>239</v>
      </c>
      <c r="M43" s="28" t="s">
        <v>240</v>
      </c>
      <c r="N43" s="28" t="s">
        <v>241</v>
      </c>
      <c r="O43" s="28" t="s">
        <v>243</v>
      </c>
      <c r="P43" s="28" t="s">
        <v>244</v>
      </c>
      <c r="Q43" s="28" t="s">
        <v>242</v>
      </c>
      <c r="S43" s="27">
        <v>235</v>
      </c>
      <c r="T43" s="27">
        <v>250</v>
      </c>
    </row>
    <row r="44" spans="1:20" ht="12.75">
      <c r="A44" s="27">
        <v>25</v>
      </c>
      <c r="B44" s="27">
        <v>30</v>
      </c>
      <c r="C44" s="27">
        <v>115</v>
      </c>
      <c r="D44" s="27">
        <v>18</v>
      </c>
      <c r="E44" s="27">
        <v>85</v>
      </c>
      <c r="F44" s="27">
        <v>40</v>
      </c>
      <c r="G44" s="27">
        <v>30</v>
      </c>
      <c r="H44" s="27">
        <v>3</v>
      </c>
      <c r="I44" s="27">
        <v>42</v>
      </c>
      <c r="J44" s="27">
        <v>4</v>
      </c>
      <c r="K44" s="27">
        <v>6</v>
      </c>
      <c r="L44" s="27">
        <v>68</v>
      </c>
      <c r="M44" s="27">
        <v>2</v>
      </c>
      <c r="N44" s="27">
        <v>4</v>
      </c>
      <c r="O44" s="27" t="s">
        <v>246</v>
      </c>
      <c r="P44" s="27">
        <v>14</v>
      </c>
      <c r="Q44" s="27">
        <v>1.3</v>
      </c>
      <c r="S44" s="27">
        <v>240</v>
      </c>
      <c r="T44" s="27">
        <v>250</v>
      </c>
    </row>
    <row r="45" spans="1:20" ht="12.75">
      <c r="A45" s="27">
        <v>32</v>
      </c>
      <c r="B45" s="27">
        <v>38</v>
      </c>
      <c r="C45" s="27">
        <v>140</v>
      </c>
      <c r="D45" s="27">
        <v>18</v>
      </c>
      <c r="E45" s="27">
        <v>100</v>
      </c>
      <c r="F45" s="27">
        <v>42</v>
      </c>
      <c r="G45" s="27">
        <v>38</v>
      </c>
      <c r="H45" s="27">
        <v>3</v>
      </c>
      <c r="I45" s="27">
        <v>52</v>
      </c>
      <c r="J45" s="27">
        <v>6</v>
      </c>
      <c r="K45" s="27">
        <v>6</v>
      </c>
      <c r="L45" s="27">
        <v>78</v>
      </c>
      <c r="M45" s="27">
        <v>2</v>
      </c>
      <c r="N45" s="27">
        <v>4</v>
      </c>
      <c r="O45" s="27" t="s">
        <v>247</v>
      </c>
      <c r="P45" s="27">
        <v>18</v>
      </c>
      <c r="Q45" s="27">
        <v>1.9</v>
      </c>
      <c r="S45" s="27">
        <v>245</v>
      </c>
      <c r="T45" s="27">
        <v>250</v>
      </c>
    </row>
    <row r="46" spans="1:20" ht="12.75">
      <c r="A46" s="27">
        <v>40</v>
      </c>
      <c r="B46" s="27">
        <v>44.5</v>
      </c>
      <c r="C46" s="27">
        <v>150</v>
      </c>
      <c r="D46" s="27">
        <v>18</v>
      </c>
      <c r="E46" s="27">
        <v>110</v>
      </c>
      <c r="F46" s="27">
        <v>45</v>
      </c>
      <c r="G46" s="27">
        <v>44.5</v>
      </c>
      <c r="H46" s="27">
        <v>3</v>
      </c>
      <c r="I46" s="27">
        <v>60</v>
      </c>
      <c r="J46" s="27">
        <v>6</v>
      </c>
      <c r="K46" s="27">
        <v>7</v>
      </c>
      <c r="L46" s="27">
        <v>88</v>
      </c>
      <c r="M46" s="27">
        <v>3</v>
      </c>
      <c r="N46" s="27">
        <v>4</v>
      </c>
      <c r="O46" s="27" t="s">
        <v>247</v>
      </c>
      <c r="P46" s="27">
        <v>18</v>
      </c>
      <c r="Q46" s="27">
        <v>2.35</v>
      </c>
      <c r="S46" s="27">
        <v>250</v>
      </c>
      <c r="T46" s="27">
        <v>250</v>
      </c>
    </row>
    <row r="47" spans="1:20" ht="12.75">
      <c r="A47" s="27">
        <v>50</v>
      </c>
      <c r="B47" s="27">
        <v>57</v>
      </c>
      <c r="C47" s="27">
        <v>165</v>
      </c>
      <c r="D47" s="27">
        <v>20</v>
      </c>
      <c r="E47" s="27">
        <v>125</v>
      </c>
      <c r="F47" s="27">
        <v>48</v>
      </c>
      <c r="G47" s="27">
        <v>57</v>
      </c>
      <c r="H47" s="27">
        <v>3</v>
      </c>
      <c r="I47" s="27">
        <v>72</v>
      </c>
      <c r="J47" s="27">
        <v>6</v>
      </c>
      <c r="K47" s="27">
        <v>8</v>
      </c>
      <c r="L47" s="27">
        <v>102</v>
      </c>
      <c r="M47" s="27">
        <v>3</v>
      </c>
      <c r="N47" s="27">
        <v>4</v>
      </c>
      <c r="O47" s="27" t="s">
        <v>247</v>
      </c>
      <c r="P47" s="27">
        <v>18</v>
      </c>
      <c r="Q47" s="27">
        <v>2.82</v>
      </c>
      <c r="S47" s="27">
        <v>255</v>
      </c>
      <c r="T47" s="27">
        <v>300</v>
      </c>
    </row>
    <row r="48" spans="1:20" ht="12.75">
      <c r="A48" s="27">
        <v>65</v>
      </c>
      <c r="B48" s="27">
        <v>76</v>
      </c>
      <c r="C48" s="27">
        <v>185</v>
      </c>
      <c r="D48" s="27">
        <v>18</v>
      </c>
      <c r="E48" s="27">
        <v>145</v>
      </c>
      <c r="F48" s="27">
        <v>45</v>
      </c>
      <c r="G48" s="27">
        <v>76</v>
      </c>
      <c r="H48" s="27">
        <v>3</v>
      </c>
      <c r="I48" s="27">
        <v>90</v>
      </c>
      <c r="J48" s="27">
        <v>6</v>
      </c>
      <c r="K48" s="27">
        <v>10</v>
      </c>
      <c r="L48" s="27">
        <v>122</v>
      </c>
      <c r="M48" s="27">
        <v>3</v>
      </c>
      <c r="N48" s="27">
        <v>4</v>
      </c>
      <c r="O48" s="27" t="s">
        <v>247</v>
      </c>
      <c r="P48" s="27">
        <v>18</v>
      </c>
      <c r="Q48" s="27">
        <v>3.06</v>
      </c>
      <c r="S48" s="27">
        <v>260</v>
      </c>
      <c r="T48" s="27">
        <v>300</v>
      </c>
    </row>
    <row r="49" spans="1:20" ht="12.75">
      <c r="A49" s="27">
        <v>80</v>
      </c>
      <c r="B49" s="27">
        <v>89</v>
      </c>
      <c r="C49" s="27">
        <v>200</v>
      </c>
      <c r="D49" s="27">
        <v>20</v>
      </c>
      <c r="E49" s="27">
        <v>160</v>
      </c>
      <c r="F49" s="27">
        <v>50</v>
      </c>
      <c r="G49" s="27">
        <v>89</v>
      </c>
      <c r="H49" s="27">
        <v>3.5</v>
      </c>
      <c r="I49" s="27">
        <v>105</v>
      </c>
      <c r="J49" s="27">
        <v>8</v>
      </c>
      <c r="K49" s="27">
        <v>12</v>
      </c>
      <c r="L49" s="27">
        <v>138</v>
      </c>
      <c r="M49" s="27">
        <v>3</v>
      </c>
      <c r="N49" s="27">
        <v>8</v>
      </c>
      <c r="O49" s="27" t="s">
        <v>247</v>
      </c>
      <c r="P49" s="27">
        <v>18</v>
      </c>
      <c r="Q49" s="27">
        <v>3.7</v>
      </c>
      <c r="S49" s="27">
        <v>265</v>
      </c>
      <c r="T49" s="27">
        <v>300</v>
      </c>
    </row>
    <row r="50" spans="1:20" ht="12.75">
      <c r="A50" s="27">
        <v>100</v>
      </c>
      <c r="B50" s="27">
        <v>108</v>
      </c>
      <c r="C50" s="27">
        <v>220</v>
      </c>
      <c r="D50" s="27">
        <v>20</v>
      </c>
      <c r="E50" s="27">
        <v>180</v>
      </c>
      <c r="F50" s="27">
        <v>52</v>
      </c>
      <c r="G50" s="27">
        <v>108</v>
      </c>
      <c r="H50" s="27">
        <v>4</v>
      </c>
      <c r="I50" s="27">
        <v>125</v>
      </c>
      <c r="J50" s="27">
        <v>8</v>
      </c>
      <c r="K50" s="27">
        <v>12</v>
      </c>
      <c r="L50" s="27">
        <v>158</v>
      </c>
      <c r="M50" s="27">
        <v>3</v>
      </c>
      <c r="N50" s="27">
        <v>8</v>
      </c>
      <c r="O50" s="27" t="s">
        <v>247</v>
      </c>
      <c r="P50" s="27">
        <v>18</v>
      </c>
      <c r="Q50" s="27">
        <v>4.62</v>
      </c>
      <c r="S50" s="27">
        <v>270</v>
      </c>
      <c r="T50" s="27">
        <v>300</v>
      </c>
    </row>
    <row r="51" spans="1:20" ht="12.75">
      <c r="A51" s="27">
        <v>125</v>
      </c>
      <c r="B51" s="27">
        <v>133</v>
      </c>
      <c r="C51" s="27">
        <v>250</v>
      </c>
      <c r="D51" s="27">
        <v>22</v>
      </c>
      <c r="E51" s="27">
        <v>210</v>
      </c>
      <c r="F51" s="27">
        <v>55</v>
      </c>
      <c r="G51" s="27">
        <v>133</v>
      </c>
      <c r="H51" s="27">
        <v>4</v>
      </c>
      <c r="I51" s="27">
        <v>150</v>
      </c>
      <c r="J51" s="27">
        <v>8</v>
      </c>
      <c r="K51" s="27">
        <v>12</v>
      </c>
      <c r="L51" s="27">
        <v>188</v>
      </c>
      <c r="M51" s="27">
        <v>3</v>
      </c>
      <c r="N51" s="27">
        <v>8</v>
      </c>
      <c r="O51" s="27" t="s">
        <v>247</v>
      </c>
      <c r="P51" s="27">
        <v>18</v>
      </c>
      <c r="Q51" s="27">
        <v>6.3</v>
      </c>
      <c r="S51" s="27">
        <v>275</v>
      </c>
      <c r="T51" s="27">
        <v>300</v>
      </c>
    </row>
    <row r="52" spans="1:20" ht="12.75">
      <c r="A52" s="27">
        <v>150</v>
      </c>
      <c r="B52" s="27">
        <v>159</v>
      </c>
      <c r="C52" s="27">
        <v>285</v>
      </c>
      <c r="D52" s="27">
        <v>22</v>
      </c>
      <c r="E52" s="27">
        <v>240</v>
      </c>
      <c r="F52" s="27">
        <v>55</v>
      </c>
      <c r="G52" s="27">
        <v>159</v>
      </c>
      <c r="H52" s="27">
        <v>4.5</v>
      </c>
      <c r="I52" s="27">
        <v>175</v>
      </c>
      <c r="J52" s="27">
        <v>10</v>
      </c>
      <c r="K52" s="27">
        <v>16</v>
      </c>
      <c r="L52" s="27">
        <v>212</v>
      </c>
      <c r="M52" s="27">
        <v>3</v>
      </c>
      <c r="N52" s="27">
        <v>8</v>
      </c>
      <c r="O52" s="27" t="s">
        <v>248</v>
      </c>
      <c r="P52" s="27">
        <v>23</v>
      </c>
      <c r="Q52" s="27">
        <v>7.75</v>
      </c>
      <c r="S52" s="27">
        <v>280</v>
      </c>
      <c r="T52" s="27">
        <v>300</v>
      </c>
    </row>
    <row r="53" spans="1:20" ht="12.75">
      <c r="A53" s="27">
        <v>200</v>
      </c>
      <c r="B53" s="27">
        <v>219</v>
      </c>
      <c r="C53" s="27">
        <v>340</v>
      </c>
      <c r="D53" s="27">
        <v>24</v>
      </c>
      <c r="E53" s="27">
        <v>295</v>
      </c>
      <c r="F53" s="27">
        <v>62</v>
      </c>
      <c r="G53" s="27">
        <v>219</v>
      </c>
      <c r="H53" s="27">
        <v>6.5</v>
      </c>
      <c r="I53" s="27">
        <v>235</v>
      </c>
      <c r="J53" s="27">
        <v>10</v>
      </c>
      <c r="K53" s="27">
        <v>16</v>
      </c>
      <c r="L53" s="27">
        <v>268</v>
      </c>
      <c r="M53" s="27">
        <v>3</v>
      </c>
      <c r="N53" s="27">
        <v>12</v>
      </c>
      <c r="O53" s="27" t="s">
        <v>248</v>
      </c>
      <c r="P53" s="27">
        <v>23</v>
      </c>
      <c r="Q53" s="27">
        <v>11</v>
      </c>
      <c r="S53" s="27">
        <v>285</v>
      </c>
      <c r="T53" s="27">
        <v>300</v>
      </c>
    </row>
    <row r="54" spans="1:20" ht="12.75">
      <c r="A54" s="27">
        <v>250</v>
      </c>
      <c r="B54" s="27">
        <v>273</v>
      </c>
      <c r="C54" s="27">
        <v>405</v>
      </c>
      <c r="D54" s="27">
        <v>26</v>
      </c>
      <c r="E54" s="27">
        <v>355</v>
      </c>
      <c r="F54" s="27">
        <v>70</v>
      </c>
      <c r="G54" s="27">
        <v>273</v>
      </c>
      <c r="H54" s="27">
        <v>7.5</v>
      </c>
      <c r="I54" s="27">
        <v>292</v>
      </c>
      <c r="J54" s="27">
        <v>12</v>
      </c>
      <c r="K54" s="27">
        <v>16</v>
      </c>
      <c r="L54" s="27">
        <v>320</v>
      </c>
      <c r="M54" s="27">
        <v>3</v>
      </c>
      <c r="N54" s="27">
        <v>12</v>
      </c>
      <c r="O54" s="27" t="s">
        <v>283</v>
      </c>
      <c r="P54" s="27">
        <v>27</v>
      </c>
      <c r="Q54" s="27">
        <v>16.4</v>
      </c>
      <c r="S54" s="27">
        <v>290</v>
      </c>
      <c r="T54" s="27">
        <v>300</v>
      </c>
    </row>
    <row r="55" spans="1:20" ht="12.75">
      <c r="A55" s="27">
        <v>300</v>
      </c>
      <c r="B55" s="27">
        <v>324</v>
      </c>
      <c r="C55" s="27">
        <v>460</v>
      </c>
      <c r="D55" s="27">
        <v>28</v>
      </c>
      <c r="E55" s="27">
        <v>410</v>
      </c>
      <c r="F55" s="27">
        <v>78</v>
      </c>
      <c r="G55" s="27">
        <v>324</v>
      </c>
      <c r="H55" s="27">
        <v>8</v>
      </c>
      <c r="I55" s="27">
        <v>344</v>
      </c>
      <c r="J55" s="27">
        <v>12</v>
      </c>
      <c r="K55" s="27">
        <v>16</v>
      </c>
      <c r="L55" s="27">
        <v>378</v>
      </c>
      <c r="M55" s="27">
        <v>4</v>
      </c>
      <c r="N55" s="27">
        <v>12</v>
      </c>
      <c r="O55" s="27" t="s">
        <v>283</v>
      </c>
      <c r="P55" s="27">
        <v>27</v>
      </c>
      <c r="Q55" s="27">
        <v>22.5</v>
      </c>
      <c r="S55" s="27">
        <v>295</v>
      </c>
      <c r="T55" s="27">
        <v>300</v>
      </c>
    </row>
    <row r="56" spans="1:20" ht="12.75">
      <c r="A56" s="27">
        <v>350</v>
      </c>
      <c r="B56" s="27">
        <v>368</v>
      </c>
      <c r="C56" s="27">
        <v>520</v>
      </c>
      <c r="D56" s="27">
        <v>30</v>
      </c>
      <c r="E56" s="27">
        <v>470</v>
      </c>
      <c r="F56" s="27">
        <v>82</v>
      </c>
      <c r="G56" s="27">
        <v>368</v>
      </c>
      <c r="H56" s="27">
        <v>8</v>
      </c>
      <c r="I56" s="27">
        <v>390</v>
      </c>
      <c r="J56" s="27">
        <v>12</v>
      </c>
      <c r="K56" s="27">
        <v>16</v>
      </c>
      <c r="L56" s="27">
        <v>438</v>
      </c>
      <c r="M56" s="27">
        <v>4</v>
      </c>
      <c r="N56" s="27">
        <v>16</v>
      </c>
      <c r="O56" s="27" t="s">
        <v>283</v>
      </c>
      <c r="P56" s="27">
        <v>27</v>
      </c>
      <c r="Q56" s="27">
        <v>30.5</v>
      </c>
      <c r="S56" s="27">
        <v>300</v>
      </c>
      <c r="T56" s="27">
        <v>300</v>
      </c>
    </row>
    <row r="57" spans="1:20" ht="12.75">
      <c r="A57" s="27">
        <v>400</v>
      </c>
      <c r="B57" s="27">
        <v>419</v>
      </c>
      <c r="C57" s="27">
        <v>580</v>
      </c>
      <c r="D57" s="27">
        <v>32</v>
      </c>
      <c r="E57" s="27">
        <v>525</v>
      </c>
      <c r="F57" s="27">
        <v>85</v>
      </c>
      <c r="G57" s="27">
        <v>419</v>
      </c>
      <c r="H57" s="27">
        <v>8</v>
      </c>
      <c r="I57" s="27">
        <v>445</v>
      </c>
      <c r="J57" s="27">
        <v>12</v>
      </c>
      <c r="K57" s="27">
        <v>16</v>
      </c>
      <c r="L57" s="27">
        <v>490</v>
      </c>
      <c r="M57" s="27">
        <v>4</v>
      </c>
      <c r="N57" s="27">
        <v>16</v>
      </c>
      <c r="O57" s="27" t="s">
        <v>360</v>
      </c>
      <c r="P57" s="27">
        <v>30</v>
      </c>
      <c r="Q57" s="27">
        <v>36.3</v>
      </c>
      <c r="S57" s="27">
        <v>305</v>
      </c>
      <c r="T57" s="27">
        <v>400</v>
      </c>
    </row>
    <row r="58" spans="1:20" ht="12.75">
      <c r="A58" s="27">
        <v>500</v>
      </c>
      <c r="B58" s="27">
        <v>508</v>
      </c>
      <c r="C58" s="27">
        <v>715</v>
      </c>
      <c r="D58" s="27">
        <v>34</v>
      </c>
      <c r="E58" s="27">
        <v>650</v>
      </c>
      <c r="F58" s="27">
        <v>90</v>
      </c>
      <c r="G58" s="27">
        <v>508</v>
      </c>
      <c r="H58" s="27">
        <v>8</v>
      </c>
      <c r="I58" s="27">
        <v>548</v>
      </c>
      <c r="J58" s="27">
        <v>12</v>
      </c>
      <c r="K58" s="27">
        <v>16</v>
      </c>
      <c r="L58" s="27">
        <v>610</v>
      </c>
      <c r="M58" s="27">
        <v>4</v>
      </c>
      <c r="N58" s="27">
        <v>20</v>
      </c>
      <c r="O58" s="27" t="s">
        <v>284</v>
      </c>
      <c r="P58" s="27">
        <v>33</v>
      </c>
      <c r="Q58" s="27">
        <v>59.5</v>
      </c>
      <c r="S58" s="27">
        <v>310</v>
      </c>
      <c r="T58" s="27">
        <v>400</v>
      </c>
    </row>
    <row r="59" spans="19:20" ht="12.75">
      <c r="S59" s="27">
        <v>315</v>
      </c>
      <c r="T59" s="27">
        <v>400</v>
      </c>
    </row>
    <row r="60" spans="19:20" ht="12.75">
      <c r="S60" s="27">
        <v>320</v>
      </c>
      <c r="T60" s="27">
        <v>400</v>
      </c>
    </row>
    <row r="61" spans="19:20" ht="12.75">
      <c r="S61" s="27">
        <v>325</v>
      </c>
      <c r="T61" s="27">
        <v>400</v>
      </c>
    </row>
    <row r="62" spans="19:20" ht="12.75">
      <c r="S62" s="27">
        <v>330</v>
      </c>
      <c r="T62" s="27">
        <v>400</v>
      </c>
    </row>
    <row r="63" spans="19:20" ht="12.75">
      <c r="S63" s="27">
        <v>335</v>
      </c>
      <c r="T63" s="27">
        <v>400</v>
      </c>
    </row>
    <row r="64" spans="19:20" ht="12.75">
      <c r="S64" s="27">
        <v>340</v>
      </c>
      <c r="T64" s="27">
        <v>400</v>
      </c>
    </row>
    <row r="65" spans="19:20" ht="12.75">
      <c r="S65" s="27">
        <v>345</v>
      </c>
      <c r="T65" s="27">
        <v>400</v>
      </c>
    </row>
    <row r="66" spans="19:20" ht="12.75">
      <c r="S66" s="27">
        <v>350</v>
      </c>
      <c r="T66" s="27">
        <v>400</v>
      </c>
    </row>
    <row r="67" spans="19:20" ht="12.75">
      <c r="S67" s="27">
        <v>355</v>
      </c>
      <c r="T67" s="27">
        <v>400</v>
      </c>
    </row>
    <row r="68" spans="19:20" ht="12.75">
      <c r="S68" s="27">
        <v>360</v>
      </c>
      <c r="T68" s="27">
        <v>400</v>
      </c>
    </row>
    <row r="69" spans="19:20" ht="12.75">
      <c r="S69" s="27">
        <v>365</v>
      </c>
      <c r="T69" s="27">
        <v>400</v>
      </c>
    </row>
    <row r="70" spans="19:20" ht="12.75">
      <c r="S70" s="27">
        <v>370</v>
      </c>
      <c r="T70" s="27">
        <v>400</v>
      </c>
    </row>
    <row r="71" spans="19:20" ht="12.75">
      <c r="S71" s="27">
        <v>375</v>
      </c>
      <c r="T71" s="27">
        <v>400</v>
      </c>
    </row>
    <row r="72" spans="19:20" ht="12.75">
      <c r="S72" s="27">
        <v>380</v>
      </c>
      <c r="T72" s="27">
        <v>400</v>
      </c>
    </row>
    <row r="73" spans="19:20" ht="12.75">
      <c r="S73" s="27">
        <v>385</v>
      </c>
      <c r="T73" s="27">
        <v>400</v>
      </c>
    </row>
    <row r="74" spans="19:20" ht="12.75">
      <c r="S74" s="27">
        <v>390</v>
      </c>
      <c r="T74" s="27">
        <v>400</v>
      </c>
    </row>
    <row r="75" spans="19:20" ht="12.75">
      <c r="S75" s="27">
        <v>395</v>
      </c>
      <c r="T75" s="27">
        <v>400</v>
      </c>
    </row>
    <row r="76" spans="19:20" ht="12.75">
      <c r="S76" s="27">
        <v>400</v>
      </c>
      <c r="T76" s="27">
        <v>400</v>
      </c>
    </row>
    <row r="77" spans="19:20" ht="12.75">
      <c r="S77" s="27">
        <v>405</v>
      </c>
      <c r="T77" s="27">
        <v>500</v>
      </c>
    </row>
    <row r="78" spans="19:20" ht="12.75">
      <c r="S78" s="27">
        <v>410</v>
      </c>
      <c r="T78" s="27">
        <v>500</v>
      </c>
    </row>
    <row r="79" spans="19:20" ht="12.75">
      <c r="S79" s="27">
        <v>415</v>
      </c>
      <c r="T79" s="27">
        <v>500</v>
      </c>
    </row>
    <row r="80" spans="19:20" ht="12.75">
      <c r="S80" s="27">
        <v>420</v>
      </c>
      <c r="T80" s="27">
        <v>500</v>
      </c>
    </row>
    <row r="81" spans="19:20" ht="12.75">
      <c r="S81" s="27">
        <v>425</v>
      </c>
      <c r="T81" s="27">
        <v>500</v>
      </c>
    </row>
    <row r="82" spans="19:20" ht="12.75">
      <c r="S82" s="27">
        <v>430</v>
      </c>
      <c r="T82" s="27">
        <v>500</v>
      </c>
    </row>
    <row r="83" spans="19:20" ht="12.75">
      <c r="S83" s="27">
        <v>435</v>
      </c>
      <c r="T83" s="27">
        <v>500</v>
      </c>
    </row>
    <row r="84" spans="19:20" ht="12.75">
      <c r="S84" s="27">
        <v>440</v>
      </c>
      <c r="T84" s="27">
        <v>500</v>
      </c>
    </row>
    <row r="85" spans="19:20" ht="12.75">
      <c r="S85" s="27">
        <v>445</v>
      </c>
      <c r="T85" s="27">
        <v>500</v>
      </c>
    </row>
    <row r="86" spans="19:20" ht="12.75">
      <c r="S86" s="27">
        <v>450</v>
      </c>
      <c r="T86" s="27">
        <v>500</v>
      </c>
    </row>
    <row r="87" spans="19:20" ht="12.75">
      <c r="S87" s="27">
        <v>455</v>
      </c>
      <c r="T87" s="27">
        <v>500</v>
      </c>
    </row>
    <row r="88" spans="19:20" ht="12.75">
      <c r="S88" s="27">
        <v>460</v>
      </c>
      <c r="T88" s="27">
        <v>500</v>
      </c>
    </row>
    <row r="89" spans="19:20" ht="12.75">
      <c r="S89" s="27">
        <v>465</v>
      </c>
      <c r="T89" s="27">
        <v>500</v>
      </c>
    </row>
    <row r="90" spans="19:20" ht="12.75">
      <c r="S90" s="27">
        <v>470</v>
      </c>
      <c r="T90" s="27">
        <v>500</v>
      </c>
    </row>
    <row r="91" spans="19:20" ht="12.75">
      <c r="S91" s="27">
        <v>475</v>
      </c>
      <c r="T91" s="27">
        <v>500</v>
      </c>
    </row>
    <row r="92" spans="19:20" ht="12.75">
      <c r="S92" s="27">
        <v>480</v>
      </c>
      <c r="T92" s="27">
        <v>500</v>
      </c>
    </row>
    <row r="93" spans="19:20" ht="12.75">
      <c r="S93" s="27">
        <v>485</v>
      </c>
      <c r="T93" s="27">
        <v>500</v>
      </c>
    </row>
    <row r="94" spans="19:20" ht="12.75">
      <c r="S94" s="27">
        <v>490</v>
      </c>
      <c r="T94" s="27">
        <v>500</v>
      </c>
    </row>
    <row r="95" spans="19:20" ht="12.75">
      <c r="S95" s="27">
        <v>495</v>
      </c>
      <c r="T95" s="27">
        <v>500</v>
      </c>
    </row>
    <row r="96" spans="19:20" ht="12.75">
      <c r="S96" s="27">
        <v>500</v>
      </c>
      <c r="T96" s="27">
        <v>500</v>
      </c>
    </row>
  </sheetData>
  <mergeCells count="15">
    <mergeCell ref="N2:O2"/>
    <mergeCell ref="B22:B23"/>
    <mergeCell ref="C22:F22"/>
    <mergeCell ref="G22:K22"/>
    <mergeCell ref="L22:M22"/>
    <mergeCell ref="N22:O22"/>
    <mergeCell ref="B2:B3"/>
    <mergeCell ref="C2:F2"/>
    <mergeCell ref="G2:K2"/>
    <mergeCell ref="L2:M2"/>
    <mergeCell ref="N42:O42"/>
    <mergeCell ref="B42:B43"/>
    <mergeCell ref="C42:F42"/>
    <mergeCell ref="G42:K42"/>
    <mergeCell ref="L42:M4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B5" sqref="B5:B8"/>
    </sheetView>
  </sheetViews>
  <sheetFormatPr defaultColWidth="9.140625" defaultRowHeight="12.75"/>
  <cols>
    <col min="2" max="2" width="12.421875" style="0" customWidth="1"/>
    <col min="4" max="4" width="12.421875" style="0" customWidth="1"/>
    <col min="5" max="5" width="10.7109375" style="0" customWidth="1"/>
    <col min="6" max="6" width="11.28125" style="0" bestFit="1" customWidth="1"/>
    <col min="7" max="7" width="19.140625" style="0" customWidth="1"/>
  </cols>
  <sheetData>
    <row r="1" spans="2:5" s="23" customFormat="1" ht="28.5">
      <c r="B1" s="19" t="s">
        <v>161</v>
      </c>
      <c r="C1" s="19" t="s">
        <v>162</v>
      </c>
      <c r="D1" s="19" t="s">
        <v>163</v>
      </c>
      <c r="E1" s="19" t="s">
        <v>164</v>
      </c>
    </row>
    <row r="2" spans="2:7" s="23" customFormat="1" ht="12.75" customHeight="1">
      <c r="B2" s="19"/>
      <c r="C2" s="19"/>
      <c r="D2" s="19"/>
      <c r="E2" s="19"/>
      <c r="F2" s="23" t="s">
        <v>171</v>
      </c>
      <c r="G2" s="23" t="s">
        <v>172</v>
      </c>
    </row>
    <row r="3" spans="1:7" ht="51">
      <c r="A3">
        <v>1</v>
      </c>
      <c r="B3" s="69" t="s">
        <v>165</v>
      </c>
      <c r="C3" s="67" t="s">
        <v>166</v>
      </c>
      <c r="D3" s="67" t="s">
        <v>167</v>
      </c>
      <c r="E3" s="67">
        <v>145</v>
      </c>
      <c r="F3" t="s">
        <v>170</v>
      </c>
      <c r="G3" s="23" t="s">
        <v>173</v>
      </c>
    </row>
    <row r="4" spans="2:7" ht="25.5">
      <c r="B4" s="67"/>
      <c r="C4" s="67"/>
      <c r="D4" s="67"/>
      <c r="E4" s="67"/>
      <c r="F4" t="s">
        <v>169</v>
      </c>
      <c r="G4" s="23" t="s">
        <v>168</v>
      </c>
    </row>
    <row r="5" spans="1:7" ht="11.25" customHeight="1">
      <c r="A5">
        <v>2</v>
      </c>
      <c r="B5" s="68" t="s">
        <v>185</v>
      </c>
      <c r="C5" t="s">
        <v>174</v>
      </c>
      <c r="D5" t="s">
        <v>178</v>
      </c>
      <c r="E5">
        <v>205</v>
      </c>
      <c r="F5" t="s">
        <v>170</v>
      </c>
      <c r="G5" s="67" t="s">
        <v>183</v>
      </c>
    </row>
    <row r="6" spans="1:7" ht="14.25">
      <c r="A6">
        <v>3</v>
      </c>
      <c r="B6" s="68"/>
      <c r="C6" t="s">
        <v>175</v>
      </c>
      <c r="D6" t="s">
        <v>179</v>
      </c>
      <c r="E6">
        <v>235</v>
      </c>
      <c r="F6" t="s">
        <v>182</v>
      </c>
      <c r="G6" s="67"/>
    </row>
    <row r="7" spans="1:7" ht="14.25">
      <c r="A7">
        <v>4</v>
      </c>
      <c r="B7" s="68"/>
      <c r="C7" t="s">
        <v>176</v>
      </c>
      <c r="D7" t="s">
        <v>180</v>
      </c>
      <c r="E7">
        <v>255</v>
      </c>
      <c r="F7" t="s">
        <v>170</v>
      </c>
      <c r="G7" s="67" t="s">
        <v>184</v>
      </c>
    </row>
    <row r="8" spans="1:7" ht="24.75" customHeight="1">
      <c r="A8">
        <v>5</v>
      </c>
      <c r="B8" s="68"/>
      <c r="C8" s="25" t="s">
        <v>177</v>
      </c>
      <c r="D8" s="25" t="s">
        <v>181</v>
      </c>
      <c r="E8" s="25">
        <v>355</v>
      </c>
      <c r="F8" s="25" t="s">
        <v>182</v>
      </c>
      <c r="G8" s="67"/>
    </row>
  </sheetData>
  <mergeCells count="7">
    <mergeCell ref="G5:G6"/>
    <mergeCell ref="G7:G8"/>
    <mergeCell ref="B5:B8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7" sqref="J7"/>
    </sheetView>
  </sheetViews>
  <sheetFormatPr defaultColWidth="9.140625" defaultRowHeight="12.75"/>
  <cols>
    <col min="1" max="10" width="5.7109375" style="0" customWidth="1"/>
  </cols>
  <sheetData>
    <row r="1" ht="12.75">
      <c r="A1" t="s">
        <v>282</v>
      </c>
    </row>
    <row r="2" spans="1:10" ht="12.75">
      <c r="A2" t="s">
        <v>255</v>
      </c>
      <c r="B2" t="s">
        <v>278</v>
      </c>
      <c r="F2" t="s">
        <v>228</v>
      </c>
      <c r="I2" t="s">
        <v>229</v>
      </c>
      <c r="J2" t="s">
        <v>281</v>
      </c>
    </row>
    <row r="3" spans="2:9" ht="12.75">
      <c r="B3" t="s">
        <v>230</v>
      </c>
      <c r="C3" t="s">
        <v>231</v>
      </c>
      <c r="D3" t="s">
        <v>279</v>
      </c>
      <c r="E3" t="s">
        <v>234</v>
      </c>
      <c r="F3" t="s">
        <v>241</v>
      </c>
      <c r="G3" t="s">
        <v>280</v>
      </c>
      <c r="H3" t="s">
        <v>244</v>
      </c>
      <c r="I3" t="s">
        <v>242</v>
      </c>
    </row>
    <row r="4" spans="1:10" ht="12.75">
      <c r="A4">
        <v>6</v>
      </c>
      <c r="B4">
        <v>645</v>
      </c>
      <c r="C4">
        <v>24</v>
      </c>
      <c r="D4">
        <v>600</v>
      </c>
      <c r="E4">
        <v>475</v>
      </c>
      <c r="F4">
        <v>20</v>
      </c>
      <c r="G4" t="s">
        <v>248</v>
      </c>
      <c r="H4">
        <v>23</v>
      </c>
      <c r="I4">
        <v>60.4</v>
      </c>
      <c r="J4">
        <v>4581</v>
      </c>
    </row>
    <row r="5" spans="1:10" ht="12.75">
      <c r="A5">
        <v>10</v>
      </c>
      <c r="B5">
        <v>670</v>
      </c>
      <c r="C5">
        <v>28</v>
      </c>
      <c r="D5">
        <v>620</v>
      </c>
      <c r="E5">
        <v>475</v>
      </c>
      <c r="F5">
        <v>20</v>
      </c>
      <c r="G5" t="s">
        <v>283</v>
      </c>
      <c r="H5">
        <v>27</v>
      </c>
      <c r="I5">
        <v>77.8</v>
      </c>
      <c r="J5">
        <v>4582</v>
      </c>
    </row>
    <row r="6" spans="1:10" ht="12.75">
      <c r="A6">
        <v>16</v>
      </c>
      <c r="B6">
        <v>715</v>
      </c>
      <c r="C6">
        <v>34</v>
      </c>
      <c r="D6">
        <v>650</v>
      </c>
      <c r="E6">
        <v>478</v>
      </c>
      <c r="F6">
        <v>20</v>
      </c>
      <c r="G6" t="s">
        <v>284</v>
      </c>
      <c r="H6">
        <v>33</v>
      </c>
      <c r="I6">
        <v>105</v>
      </c>
      <c r="J6">
        <v>4583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H2" sqref="H2"/>
    </sheetView>
  </sheetViews>
  <sheetFormatPr defaultColWidth="9.140625" defaultRowHeight="12.75"/>
  <sheetData>
    <row r="1" spans="1:12" ht="12.75">
      <c r="A1" t="s">
        <v>391</v>
      </c>
      <c r="B1" t="s">
        <v>225</v>
      </c>
      <c r="F1" t="s">
        <v>393</v>
      </c>
      <c r="H1" t="s">
        <v>228</v>
      </c>
      <c r="K1" t="s">
        <v>229</v>
      </c>
      <c r="L1" t="s">
        <v>392</v>
      </c>
    </row>
    <row r="2" spans="2:10" ht="12.75">
      <c r="B2" t="s">
        <v>236</v>
      </c>
      <c r="C2" t="s">
        <v>230</v>
      </c>
      <c r="D2" t="s">
        <v>231</v>
      </c>
      <c r="E2" t="s">
        <v>279</v>
      </c>
      <c r="F2" t="s">
        <v>239</v>
      </c>
      <c r="G2" t="s">
        <v>240</v>
      </c>
      <c r="H2" t="s">
        <v>241</v>
      </c>
      <c r="I2" t="s">
        <v>280</v>
      </c>
      <c r="J2" t="s">
        <v>244</v>
      </c>
    </row>
    <row r="3" spans="1:12" ht="12.75">
      <c r="A3">
        <v>2.5</v>
      </c>
      <c r="B3">
        <v>22.5</v>
      </c>
      <c r="C3">
        <v>90</v>
      </c>
      <c r="D3">
        <v>14</v>
      </c>
      <c r="E3">
        <v>65</v>
      </c>
      <c r="F3">
        <v>50</v>
      </c>
      <c r="G3">
        <v>2</v>
      </c>
      <c r="H3">
        <v>4</v>
      </c>
      <c r="I3" t="s">
        <v>245</v>
      </c>
      <c r="J3">
        <v>11.5</v>
      </c>
      <c r="K3">
        <v>0.6</v>
      </c>
      <c r="L3">
        <v>2912</v>
      </c>
    </row>
    <row r="4" spans="1:12" ht="12.75">
      <c r="A4">
        <v>6</v>
      </c>
      <c r="B4">
        <v>22.5</v>
      </c>
      <c r="C4">
        <v>90</v>
      </c>
      <c r="D4">
        <v>14</v>
      </c>
      <c r="E4">
        <v>65</v>
      </c>
      <c r="F4">
        <v>50</v>
      </c>
      <c r="G4">
        <v>2</v>
      </c>
      <c r="H4">
        <v>4</v>
      </c>
      <c r="I4" t="s">
        <v>245</v>
      </c>
      <c r="J4">
        <v>11.5</v>
      </c>
      <c r="K4">
        <v>0.6</v>
      </c>
      <c r="L4">
        <v>2912</v>
      </c>
    </row>
    <row r="5" spans="1:12" ht="12.75">
      <c r="A5">
        <v>10</v>
      </c>
      <c r="B5">
        <v>25.5</v>
      </c>
      <c r="C5">
        <v>105</v>
      </c>
      <c r="D5">
        <v>16</v>
      </c>
      <c r="E5">
        <v>75</v>
      </c>
      <c r="F5">
        <v>58</v>
      </c>
      <c r="G5">
        <v>2</v>
      </c>
      <c r="H5">
        <v>4</v>
      </c>
      <c r="I5" t="s">
        <v>246</v>
      </c>
      <c r="J5">
        <v>14</v>
      </c>
      <c r="K5">
        <v>0.9</v>
      </c>
      <c r="L5">
        <v>2969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Pirzsók Gábor</dc:creator>
  <cp:keywords/>
  <dc:description/>
  <cp:lastModifiedBy>ursprung</cp:lastModifiedBy>
  <cp:lastPrinted>2005-10-12T18:53:47Z</cp:lastPrinted>
  <dcterms:created xsi:type="dcterms:W3CDTF">2005-09-21T10:29:53Z</dcterms:created>
  <dcterms:modified xsi:type="dcterms:W3CDTF">2005-10-12T18:53:49Z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-446688942</vt:i4>
  </property>
  <property fmtid="{D5CDD505-2E9C-101B-9397-08002B2CF9AE}" pid="3" name="_EmailSubject">
    <vt:lpwstr>Légtartály még mindíg</vt:lpwstr>
  </property>
  <property fmtid="{D5CDD505-2E9C-101B-9397-08002B2CF9AE}" pid="4" name="_AuthorEmail">
    <vt:lpwstr>GPirzsok@MOL.hu</vt:lpwstr>
  </property>
  <property fmtid="{D5CDD505-2E9C-101B-9397-08002B2CF9AE}" pid="5" name="_AuthorEmailDisplayName">
    <vt:lpwstr>Pirzsók Gábor</vt:lpwstr>
  </property>
  <property fmtid="{D5CDD505-2E9C-101B-9397-08002B2CF9AE}" pid="6" name="_ReviewingToolsShownOnce">
    <vt:lpwstr/>
  </property>
</Properties>
</file>